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Default Extension="jpg" ContentType="image/jpg"/>
  <Default Extension="tiff" ContentType="image/tiff"/>
  <Default Extension="jpeg" ContentType="image/jpeg"/>
  <Default Extension="png" ContentType="image/png"/>
  <Default Extension="bmp" ContentType="image/bmp"/>
  <Default Extension="gif" ContentType="image/gif"/>
  <Default Extension="svg" ContentType="image/svg+xml"/>
  <Default Extension="emf" ContentType="image/x-emf"/>
  <Default Extension="wmf" ContentType="image/x-wmf"/>
  <Override PartName="/xl/workbook.xml" ContentType="application/vnd.openxmlformats-officedocument.spreadsheetml.sheet.main+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Override PartName="/xl/comments1.xml" ContentType="application/vnd.openxmlformats-officedocument.spreadsheetml.comments+xml"/>
  <Override PartName="/xl/drawings/drawing1.xml" ContentType="application/vnd.openxmlformats-officedocument.drawing+xml"/>
  <Override PartName="/xl/worksheets/sheet3.xml" ContentType="application/vnd.openxmlformats-officedocument.spreadsheetml.worksheet+xml"/>
  <Override PartName="/xl/drawings/drawing2.xml" ContentType="application/vnd.openxmlformats-officedocument.drawing+xml"/>
  <Override PartName="/xl/worksheets/sheet4.xml" ContentType="application/vnd.openxmlformats-officedocument.spreadsheetml.worksheet+xml"/>
  <Override PartName="/xl/drawings/drawing3.xml" ContentType="application/vnd.openxmlformats-officedocument.drawing+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drawings/drawing4.xml" ContentType="application/vnd.openxmlformats-officedocument.drawing+xml"/>
  <Override PartName="/xl/worksheets/sheet36.xml" ContentType="application/vnd.openxmlformats-officedocument.spreadsheetml.worksheet+xml"/>
  <Override PartName="/xl/drawings/drawing5.xml" ContentType="application/vnd.openxmlformats-officedocument.drawing+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worksheets/sheet45.xml" ContentType="application/vnd.openxmlformats-officedocument.spreadsheetml.worksheet+xml"/>
  <Override PartName="/xl/worksheets/sheet46.xml" ContentType="application/vnd.openxmlformats-officedocument.spreadsheetml.worksheet+xml"/>
  <Override PartName="/xl/worksheets/sheet47.xml" ContentType="application/vnd.openxmlformats-officedocument.spreadsheetml.worksheet+xml"/>
  <Override PartName="/xl/drawings/drawing6.xml" ContentType="application/vnd.openxmlformats-officedocument.drawing+xml"/>
  <Override PartName="/xl/worksheets/sheet48.xml" ContentType="application/vnd.openxmlformats-officedocument.spreadsheetml.worksheet+xml"/>
  <Override PartName="/xl/drawings/drawing7.xml" ContentType="application/vnd.openxmlformats-officedocument.drawing+xml"/>
  <Override PartName="/xl/worksheets/sheet49.xml" ContentType="application/vnd.openxmlformats-officedocument.spreadsheetml.worksheet+xml"/>
  <Override PartName="/xl/drawings/drawing8.xml" ContentType="application/vnd.openxmlformats-officedocument.drawing+xml"/>
  <Override PartName="/xl/worksheets/sheet50.xml" ContentType="application/vnd.openxmlformats-officedocument.spreadsheetml.worksheet+xml"/>
  <Override PartName="/xl/worksheets/sheet51.xml" ContentType="application/vnd.openxmlformats-officedocument.spreadsheetml.worksheet+xml"/>
  <Override PartName="/xl/comments2.xml" ContentType="application/vnd.openxmlformats-officedocument.spreadsheetml.comments+xml"/>
  <Override PartName="/xl/worksheets/sheet52.xml" ContentType="application/vnd.openxmlformats-officedocument.spreadsheetml.worksheet+xml"/>
  <Override PartName="/xl/worksheets/sheet53.xml" ContentType="application/vnd.openxmlformats-officedocument.spreadsheetml.worksheet+xml"/>
  <Override PartName="/xl/worksheets/sheet54.xml" ContentType="application/vnd.openxmlformats-officedocument.spreadsheetml.worksheet+xml"/>
  <Override PartName="/xl/worksheets/sheet55.xml" ContentType="application/vnd.openxmlformats-officedocument.spreadsheetml.worksheet+xml"/>
  <Override PartName="/xl/worksheets/sheet56.xml" ContentType="application/vnd.openxmlformats-officedocument.spreadsheetml.worksheet+xml"/>
  <Override PartName="/xl/worksheets/sheet57.xml" ContentType="application/vnd.openxmlformats-officedocument.spreadsheetml.worksheet+xml"/>
  <Override PartName="/xl/worksheets/sheet58.xml" ContentType="application/vnd.openxmlformats-officedocument.spreadsheetml.worksheet+xml"/>
  <Override PartName="/xl/worksheets/sheet59.xml" ContentType="application/vnd.openxmlformats-officedocument.spreadsheetml.worksheet+xml"/>
  <Override PartName="/xl/worksheets/sheet60.xml" ContentType="application/vnd.openxmlformats-officedocument.spreadsheetml.worksheet+xml"/>
  <Override PartName="/xl/worksheets/sheet61.xml" ContentType="application/vnd.openxmlformats-officedocument.spreadsheetml.worksheet+xml"/>
  <Override PartName="/xl/worksheets/sheet62.xml" ContentType="application/vnd.openxmlformats-officedocument.spreadsheetml.worksheet+xml"/>
  <Override PartName="/xl/worksheets/sheet63.xml" ContentType="application/vnd.openxmlformats-officedocument.spreadsheetml.worksheet+xml"/>
  <Override PartName="/xl/comments3.xml" ContentType="application/vnd.openxmlformats-officedocument.spreadsheetml.comments+xml"/>
  <Override PartName="/xl/worksheets/sheet64.xml" ContentType="application/vnd.openxmlformats-officedocument.spreadsheetml.worksheet+xml"/>
  <Override PartName="/xl/worksheets/sheet65.xml" ContentType="application/vnd.openxmlformats-officedocument.spreadsheetml.worksheet+xml"/>
  <Override PartName="/xl/worksheets/sheet66.xml" ContentType="application/vnd.openxmlformats-officedocument.spreadsheetml.worksheet+xml"/>
  <Override PartName="/xl/worksheets/sheet67.xml" ContentType="application/vnd.openxmlformats-officedocument.spreadsheetml.worksheet+xml"/>
  <Override PartName="/xl/worksheets/sheet68.xml" ContentType="application/vnd.openxmlformats-officedocument.spreadsheetml.worksheet+xml"/>
  <Override PartName="/xl/worksheets/sheet69.xml" ContentType="application/vnd.openxmlformats-officedocument.spreadsheetml.worksheet+xml"/>
  <Override PartName="/xl/worksheets/sheet70.xml" ContentType="application/vnd.openxmlformats-officedocument.spreadsheetml.worksheet+xml"/>
  <Override PartName="/xl/worksheets/sheet71.xml" ContentType="application/vnd.openxmlformats-officedocument.spreadsheetml.worksheet+xml"/>
  <Override PartName="/xl/worksheets/sheet72.xml" ContentType="application/vnd.openxmlformats-officedocument.spreadsheetml.worksheet+xml"/>
  <Override PartName="/xl/worksheets/sheet73.xml" ContentType="application/vnd.openxmlformats-officedocument.spreadsheetml.worksheet+xml"/>
  <Override PartName="/xl/worksheets/sheet74.xml" ContentType="application/vnd.openxmlformats-officedocument.spreadsheetml.worksheet+xml"/>
  <Override PartName="/xl/worksheets/sheet75.xml" ContentType="application/vnd.openxmlformats-officedocument.spreadsheetml.worksheet+xml"/>
  <Override PartName="/xl/worksheets/sheet76.xml" ContentType="application/vnd.openxmlformats-officedocument.spreadsheetml.worksheet+xml"/>
  <Override PartName="/xl/worksheets/sheet77.xml" ContentType="application/vnd.openxmlformats-officedocument.spreadsheetml.worksheet+xml"/>
  <Override PartName="/xl/worksheets/sheet78.xml" ContentType="application/vnd.openxmlformats-officedocument.spreadsheetml.worksheet+xml"/>
  <Override PartName="/xl/worksheets/sheet79.xml" ContentType="application/vnd.openxmlformats-officedocument.spreadsheetml.worksheet+xml"/>
  <Override PartName="/xl/worksheets/sheet80.xml" ContentType="application/vnd.openxmlformats-officedocument.spreadsheetml.worksheet+xml"/>
  <Override PartName="/xl/worksheets/sheet81.xml" ContentType="application/vnd.openxmlformats-officedocument.spreadsheetml.worksheet+xml"/>
  <Override PartName="/xl/worksheets/sheet82.xml" ContentType="application/vnd.openxmlformats-officedocument.spreadsheetml.worksheet+xml"/>
  <Override PartName="/xl/worksheets/sheet83.xml" ContentType="application/vnd.openxmlformats-officedocument.spreadsheetml.worksheet+xml"/>
  <Override PartName="/xl/worksheets/sheet84.xml" ContentType="application/vnd.openxmlformats-officedocument.spreadsheetml.worksheet+xml"/>
  <Override PartName="/xl/worksheets/sheet85.xml" ContentType="application/vnd.openxmlformats-officedocument.spreadsheetml.worksheet+xml"/>
  <Override PartName="/xl/worksheets/sheet86.xml" ContentType="application/vnd.openxmlformats-officedocument.spreadsheetml.worksheet+xml"/>
  <Override PartName="/xl/worksheets/sheet87.xml" ContentType="application/vnd.openxmlformats-officedocument.spreadsheetml.worksheet+xml"/>
  <Override PartName="/xl/worksheets/sheet88.xml" ContentType="application/vnd.openxmlformats-officedocument.spreadsheetml.worksheet+xml"/>
  <Override PartName="/xl/worksheets/sheet89.xml" ContentType="application/vnd.openxmlformats-officedocument.spreadsheetml.worksheet+xml"/>
  <Override PartName="/xl/sharedStrings.xml" ContentType="application/vnd.openxmlformats-officedocument.spreadsheetml.sharedString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bookViews>
    <workbookView tabRatio="852" firstSheet="1" activeTab="47"/>
  </bookViews>
  <sheets>
    <sheet name="Инструкция" sheetId="1" r:id="rId2"/>
    <sheet name="Титульный" sheetId="2" r:id="rId3"/>
    <sheet name="Список территорий" sheetId="3" r:id="rId4"/>
    <sheet name="Дифференциация" sheetId="4" state="hidden" r:id="rId5"/>
    <sheet name="Перечень тарифов" sheetId="5" r:id="rId6"/>
    <sheet name="Дифференциация тариф показатель" sheetId="6" state="hidden" r:id="rId7"/>
    <sheet name="Общая информация об организации" sheetId="7" state="hidden" r:id="rId8"/>
    <sheet name="Общая информация по ВД" sheetId="8" state="hidden" r:id="rId9"/>
    <sheet name="Виды объектов" sheetId="9" state="hidden" r:id="rId10"/>
    <sheet name="Сведения по территориям" sheetId="10" state="hidden" r:id="rId11"/>
    <sheet name="ТС. Т-ТЭ | &gt;=25МВт" sheetId="11" state="hidden" r:id="rId12"/>
    <sheet name="ТС. Т-ТЭ | ТСО" sheetId="12" r:id="rId13"/>
    <sheet name="ТС. Т-ТЭ | предел" sheetId="13" state="hidden" r:id="rId14"/>
    <sheet name="ТС. Т-ТЭ | индикат" sheetId="14" state="hidden" r:id="rId15"/>
    <sheet name="ТС. Резерв мощности" sheetId="15" state="hidden" r:id="rId16"/>
    <sheet name="ТС. Т-ТН" sheetId="16" state="hidden" r:id="rId17"/>
    <sheet name="ТС. Т-передача ТЭ" sheetId="17" state="hidden" r:id="rId18"/>
    <sheet name="ТС. Т-передача ТН" sheetId="18" state="hidden" r:id="rId19"/>
    <sheet name="ТС. Т-гор.вода" sheetId="19" state="hidden" r:id="rId20"/>
    <sheet name="ТС. Т-подкл" sheetId="20" state="hidden" r:id="rId21"/>
    <sheet name="ХВС. Т-пит" sheetId="21" state="hidden" r:id="rId22"/>
    <sheet name="ХВС. Т-тех" sheetId="22" state="hidden" r:id="rId23"/>
    <sheet name="ХВС. Т-транс" sheetId="23" state="hidden" r:id="rId24"/>
    <sheet name="ХВС. Т-подвоз" sheetId="24" state="hidden" r:id="rId25"/>
    <sheet name="ТС. Т-подкл(инд)" sheetId="25" state="hidden" r:id="rId26"/>
    <sheet name="ХВС. Т-подкл" sheetId="26" state="hidden" r:id="rId27"/>
    <sheet name="ВО. Т-во" sheetId="27" state="hidden" r:id="rId28"/>
    <sheet name="ВО. Т-транс" sheetId="28" state="hidden" r:id="rId29"/>
    <sheet name="ВО. Т-подкл" sheetId="29" state="hidden" r:id="rId30"/>
    <sheet name="ГВС. Т-гор.вода" sheetId="30" state="hidden" r:id="rId31"/>
    <sheet name="ГВС. Т-транс" sheetId="31" state="hidden" r:id="rId32"/>
    <sheet name="ГВС. Т-подкл" sheetId="32" state="hidden" r:id="rId33"/>
    <sheet name="Показатели ФХД" sheetId="33" state="hidden" r:id="rId34"/>
    <sheet name="Показатели ФХД &gt;20%" sheetId="34" state="hidden" r:id="rId35"/>
    <sheet name="Показатели ОТЭП" sheetId="35" state="hidden" r:id="rId36"/>
    <sheet name="Стандарты качества" sheetId="36" state="hidden" r:id="rId37"/>
    <sheet name="ТКО. Показатели ФХД" sheetId="37" state="hidden" r:id="rId38"/>
    <sheet name="ТКО. Транс. Показатели ФХД" sheetId="38" state="hidden" r:id="rId39"/>
    <sheet name="Показатели КНЭ" sheetId="39" state="hidden" r:id="rId40"/>
    <sheet name="Ограничения" sheetId="40" state="hidden" r:id="rId41"/>
    <sheet name="ИП" sheetId="41" state="hidden" r:id="rId42"/>
    <sheet name="ИП. Детализация" sheetId="42" state="hidden" r:id="rId43"/>
    <sheet name="ИП. Финансовый план" sheetId="43" state="hidden" r:id="rId44"/>
    <sheet name="ИП. КНЭ" sheetId="44" state="hidden" r:id="rId45"/>
    <sheet name="ТП" sheetId="45" state="hidden" r:id="rId46"/>
    <sheet name="Договоры" sheetId="46" state="hidden" r:id="rId47"/>
    <sheet name="Порядок ТП" sheetId="47" state="hidden" r:id="rId48"/>
    <sheet name="Предложение" sheetId="48" r:id="rId49"/>
    <sheet name="Сведения о закупках" sheetId="49" r:id="rId50"/>
    <sheet name="Потребительские характеристики" sheetId="50" state="hidden" r:id="rId51"/>
    <sheet name="TEHSHEET" sheetId="51" state="hidden" r:id="rId52"/>
    <sheet name="Орган регулирования" sheetId="52" state="hidden" r:id="rId53"/>
    <sheet name="Перечень организаций" sheetId="53" state="hidden" r:id="rId54"/>
    <sheet name="Дела об установлении тарифов" sheetId="54" state="hidden" r:id="rId55"/>
    <sheet name="Дела об утверждении ПУЦ" sheetId="55" state="hidden" r:id="rId56"/>
    <sheet name="Привлечение к ответственности" sheetId="56" state="hidden" r:id="rId57"/>
    <sheet name="ЭД" sheetId="57" state="hidden" r:id="rId58"/>
    <sheet name="Сведения об изменении" sheetId="58" r:id="rId59"/>
    <sheet name="Комментарии" sheetId="59" r:id="rId60"/>
    <sheet name="Проверка" sheetId="60" state="hidden" r:id="rId61"/>
    <sheet name="et_union_hor" sheetId="61" state="hidden" r:id="rId62"/>
    <sheet name="DATA_FORMS" sheetId="62" state="hidden" r:id="rId63"/>
    <sheet name="DATA_NPA" sheetId="63" state="hidden" r:id="rId64"/>
    <sheet name="Т-ТЭ | потр" sheetId="64" state="hidden" r:id="rId65"/>
    <sheet name="modMainProcedures" sheetId="65" state="hidden" r:id="rId66"/>
    <sheet name="modB_FHD" sheetId="66" state="hidden" r:id="rId67"/>
    <sheet name="modB_FHD20" sheetId="67" state="hidden" r:id="rId68"/>
    <sheet name="modB_KNE" sheetId="68" state="hidden" r:id="rId69"/>
    <sheet name="modIP_MAIN" sheetId="69" state="hidden" r:id="rId70"/>
    <sheet name="modIP_QRE" sheetId="70" state="hidden" r:id="rId71"/>
    <sheet name="modIP_DETAILED" sheetId="71" state="hidden" r:id="rId72"/>
    <sheet name="et_union_vert" sheetId="72" state="hidden" r:id="rId73"/>
    <sheet name="Легенда" sheetId="73" state="hidden" r:id="rId74"/>
    <sheet name="modfrmListIP" sheetId="74" state="hidden" r:id="rId75"/>
    <sheet name="modfrmActivity" sheetId="75" state="hidden" r:id="rId76"/>
    <sheet name="REESTR_ORG" sheetId="76" state="hidden" r:id="rId77"/>
    <sheet name="REESTR_MO" sheetId="77" state="hidden" r:id="rId78"/>
    <sheet name="REESTR_IP" sheetId="78" state="hidden" r:id="rId79"/>
    <sheet name="REESTR_OBJ_INFR" sheetId="79" state="hidden" r:id="rId80"/>
    <sheet name="REESTR_DS" sheetId="80" state="hidden" r:id="rId81"/>
    <sheet name="REESTR_VT" sheetId="81" state="hidden" r:id="rId82"/>
    <sheet name="REESTR_VED" sheetId="82" state="hidden" r:id="rId83"/>
    <sheet name="REESTR_MO_FILTER" sheetId="83" state="hidden" r:id="rId84"/>
    <sheet name="REESTR_LINK" sheetId="84" state="hidden" r:id="rId85"/>
    <sheet name="modSheetMain" sheetId="85" state="hidden" r:id="rId86"/>
    <sheet name="modfrmReportMode" sheetId="86" state="hidden" r:id="rId87"/>
    <sheet name="modfrmReestrObj" sheetId="87" state="hidden" r:id="rId88"/>
    <sheet name="AllSheetsInThisWorkbook" sheetId="88" state="hidden" r:id="rId89"/>
    <sheet name="modInfo" sheetId="89" state="hidden" r:id="rId90"/>
  </sheets>
  <definedNames>
    <definedName name="anscount">1</definedName>
    <definedName name="B_FHD_CHECK_INDEX_1">'Показатели ФХД'!$L$66</definedName>
    <definedName name="B_FHD_CHECK_INDEX_2">'Показатели ФХД'!$L$68</definedName>
    <definedName name="B_FHD_COSTS_INDEX_1">'Показатели ФХД'!$H$65:$J$65</definedName>
    <definedName name="B_FHD_COSTS_INDEX_2">'Показатели ФХД'!$H$67:$J$67</definedName>
    <definedName name="B_FHD_DATA_TOP80_ACTIVITY">'Показатели ФХД'!$H$81:$J$81</definedName>
    <definedName name="B_FHD_diff_1">'Показатели ФХД'!$I$25:$I$27</definedName>
    <definedName name="B_FHD_FLAG_DIFFERENTIATION">'Показатели ФХД'!$H$24:$J$24</definedName>
    <definedName name="B_FHD_FLAG_INDEX_1">'Показатели ФХД'!$H$66:$J$66</definedName>
    <definedName name="B_FHD_FLAG_INDEX_2">'Показатели ФХД'!$H$68:$J$68</definedName>
    <definedName name="B_FHD_TKO_DATA_TOP80_ACTIVITY">'ТКО. Показатели ФХД'!$H$43:$J$43</definedName>
    <definedName name="B_FHD_TKO_diff_1">'ТКО. Показатели ФХД'!$I$10:$I$12</definedName>
    <definedName name="B_FHD_TKO_FLAG_DIFFERENTIATION">'ТКО. Показатели ФХД'!$H$9:$J$9</definedName>
    <definedName name="B_FHD_TKO_TRANS_DATA_TOP80_ACTIVITY">'ТКО. Транс. Показатели ФХД'!$H$35:$J$35</definedName>
    <definedName name="B_FHD_TKO_TRANS_diff_1">'ТКО. Транс. Показатели ФХД'!$I$10:$I$12</definedName>
    <definedName name="B_FHD_TKO_TRANS_FLAG_DIFFERENTIATION">'ТКО. Транс. Показатели ФХД'!$H$9:$J$9</definedName>
    <definedName name="B_FHD20_ADD_HL_2_COLUMN_MARKER">'Показатели ФХД &gt;20%'!$G$8</definedName>
    <definedName name="B_FHD20_ADD_HL_3_COLUMN_MARKER">'Показатели ФХД &gt;20%'!$J$8</definedName>
    <definedName name="B_FHD20_ADD_HL_4_COLUMN_MARKER">'Показатели ФХД &gt;20%'!$N$8</definedName>
    <definedName name="B_FHD20_ALL_DATA">'Показатели ФХД &gt;20%'!$D$13:$S$23</definedName>
    <definedName name="B_FHD20_COSTS_OPS_diff_1">'Показатели ФХД &gt;20%'!$Q$17</definedName>
    <definedName name="B_FHD20_COSTS_PH_diff_1">'Показатели ФХД &gt;20%'!$Q$20</definedName>
    <definedName name="B_FHD20_DEL_HL_2_COLUMN_MARKER">'Показатели ФХД &gt;20%'!$E$8</definedName>
    <definedName name="B_FHD20_DEL_HL_3_COLUMN_MARKER">'Показатели ФХД &gt;20%'!$H$8</definedName>
    <definedName name="B_FHD20_DEL_HL_4_COLUMN_MARKER">'Показатели ФХД &gt;20%'!$L$8</definedName>
    <definedName name="B_FHD20_diff_1">'Показатели ФХД &gt;20%'!$H$14:$R$16</definedName>
    <definedName name="B_FHD20_FLAG_FHD">'Показатели ФХД &gt;20%'!$V$11:$V$23</definedName>
    <definedName name="B_FHD20_NUMBER_COLUMN_MARKER">'Показатели ФХД &gt;20%'!$D$8</definedName>
    <definedName name="B_FHD20_PART_COLUMN_MARKER">'Показатели ФХД &gt;20%'!$R$8</definedName>
    <definedName name="B_KNE_diff_1">'Показатели КНЭ'!$I$7:$J$9</definedName>
    <definedName name="B_OTEP_diff_1">'Показатели ОТЭП'!$L$10:$L$12</definedName>
    <definedName name="B_OTEP_FLAG_DIFFERENTIATION">'Показатели ОТЭП'!$L$9:$O$9</definedName>
    <definedName name="B_OTEP_HEAT_DATA_TOP80_ACTIVITY">'Показатели ОТЭП'!$L$15:$O$15</definedName>
    <definedName name="BLOCK_BALANCE_INDICATORS">Титульный!$50:$60</definedName>
    <definedName name="BLOCK_BALANCE_TKO_FLAG_TRANS">Титульный!$61:$62</definedName>
    <definedName name="BLOCK_CONNECTION_STATE">Титульный!$48:$49</definedName>
    <definedName name="BLOCK_DIFF_CS">Титульный!$40:$41</definedName>
    <definedName name="BLOCK_DIFFERENTIATION_NOT_TKO">Дифференциация!$J:$M</definedName>
    <definedName name="BLOCK_FIRST_TARIFF">Титульный!$20:$24</definedName>
    <definedName name="BLOCK_FIRST_TARIFF_OREG_PUBL">Титульный!$23:$24</definedName>
    <definedName name="BLOCK_IP_DETAILED_FACT_IST_FIN">'ИП. Детализация'!$AD:$AE</definedName>
    <definedName name="BLOCK_IP_DETAILED_FACT_PERIOD_EVENT">'ИП. Детализация'!$AI:$AK</definedName>
    <definedName name="BLOCK_MAIN_INFO_HEAT">'Общая информация об организации'!$19:$24</definedName>
    <definedName name="BLOCK_MAIN_INFO_NOT_TKO">'Общая информация об организации'!$46:$49</definedName>
    <definedName name="BLOCK_MAIN_INFO_OBJECT_COLDVSNA">'Общая информация по ВД'!$X:$Z</definedName>
    <definedName name="BLOCK_MAIN_INFO_OBJECT_COMM_COLDVSNA">'Общая информация по ВД'!$AG:$AG</definedName>
    <definedName name="BLOCK_MAIN_INFO_OBJECT_COMM_HEAT">'Общая информация по ВД'!$AE:$AE</definedName>
    <definedName name="BLOCK_MAIN_INFO_OBJECT_COMM_HOTVSNA">'Общая информация по ВД'!$AH:$AH</definedName>
    <definedName name="BLOCK_MAIN_INFO_OBJECT_COMM_VOTV">'Общая информация по ВД'!$AF:$AF</definedName>
    <definedName name="BLOCK_MAIN_INFO_OBJECT_HEAT">'Общая информация по ВД'!$H:$R</definedName>
    <definedName name="BLOCK_MAIN_INFO_OBJECT_HOTVSNA">'Общая информация по ВД'!$AB:$AC</definedName>
    <definedName name="BLOCK_MAIN_INFO_OBJECT_VOTV">'Общая информация по ВД'!$T:$V</definedName>
    <definedName name="BLOCK_NOT_ROIV_INDICATORS_1">Титульный!$37:$37</definedName>
    <definedName name="BLOCK_NOT_ROIV_INDICATORS_2">Титульный!$38:$39</definedName>
    <definedName name="BLOCK_NOT_ROIV_INDICATORS_3">Титульный!$63:$65</definedName>
    <definedName name="BLOCK_NOTE_P_TARIFF_A">'ТС. Т-ТЭ | &gt;=25МВт'!$58:$60</definedName>
    <definedName name="BLOCK_NOTE_P_TARIFF_A_COLDVSNA">'ХВС. Т-пит'!$54:$55</definedName>
    <definedName name="BLOCK_NOTE_P_TARIFF_A_HOTVSNA">'ГВС. Т-гор.вода'!$55:$56</definedName>
    <definedName name="BLOCK_NOTE_P_TARIFF_A_VOTV">'ВО. Т-во'!$54:$55</definedName>
    <definedName name="BLOCK_NOTE_P_TARIFF_B">'ТС. Т-ТЭ | ТСО'!$80:$82</definedName>
    <definedName name="BLOCK_NOTE_P_TARIFF_B_COLDVSNA">'ХВС. Т-тех'!$54:$55</definedName>
    <definedName name="BLOCK_NOTE_P_TARIFF_B_HOTVSNA">'ГВС. Т-транс'!$55:$56</definedName>
    <definedName name="BLOCK_NOTE_P_TARIFF_B_VOTV">'ВО. Т-транс'!$54:$55</definedName>
    <definedName name="BLOCK_NOTE_P_TARIFF_C">'ТС. Т-ТН'!$58:$61</definedName>
    <definedName name="BLOCK_NOTE_P_TARIFF_C_COLDVSNA">'ХВС. Т-транс'!$54:$55</definedName>
    <definedName name="BLOCK_NOTE_P_TARIFF_C_HOTVSNA">'ГВС. Т-подкл'!$64:$65</definedName>
    <definedName name="BLOCK_NOTE_P_TARIFF_C_VOTV">'ВО. Т-подкл'!$64:$65</definedName>
    <definedName name="BLOCK_NOTE_P_TARIFF_D">'ТС. Т-гор.вода'!$66:$68</definedName>
    <definedName name="BLOCK_NOTE_P_TARIFF_D_COLDVSNA">'ХВС. Т-подвоз'!$54:$55</definedName>
    <definedName name="BLOCK_NOTE_P_TARIFF_E_COLDVSNA">'ХВС. Т-подкл'!$64:$65</definedName>
    <definedName name="BLOCK_NOTE_P_TARIFF_E1">'ТС. Т-передача ТЭ'!$58:$61</definedName>
    <definedName name="BLOCK_NOTE_P_TARIFF_E2">'ТС. Т-передача ТН'!$58:$61</definedName>
    <definedName name="BLOCK_NOTE_P_TARIFF_F">'ТС. Резерв мощности'!$58:$60</definedName>
    <definedName name="BLOCK_NOTE_P_TARIFF_G">'ТС. Т-подкл'!$63:$65</definedName>
    <definedName name="BLOCK_NOTE_P_TARIFF_H">'ТС. Т-подкл(инд)'!$60:$62</definedName>
    <definedName name="BLOCK_NOTE_P_TARIFF_I">'ТС. Т-ТЭ | предел'!$58:$60</definedName>
    <definedName name="BLOCK_NOTE_P_TARIFF_I_1">'ТС. Т-ТЭ | индикат'!$58:$60</definedName>
    <definedName name="BLOCK_NOTE_R_TARIFF_A">'ТС. Т-ТЭ | &gt;=25МВт'!$61:$64</definedName>
    <definedName name="BLOCK_NOTE_R_TARIFF_A_COLDVSNA">'ХВС. Т-пит'!$56:$57</definedName>
    <definedName name="BLOCK_NOTE_R_TARIFF_A_HOTVSNA">'ГВС. Т-гор.вода'!$57:$58</definedName>
    <definedName name="BLOCK_NOTE_R_TARIFF_A_VOTV">'ВО. Т-во'!$56:$57</definedName>
    <definedName name="BLOCK_NOTE_R_TARIFF_B">'ТС. Т-ТЭ | ТСО'!$83:$86</definedName>
    <definedName name="BLOCK_NOTE_R_TARIFF_B_COLDVSNA">'ХВС. Т-тех'!$56:$57</definedName>
    <definedName name="BLOCK_NOTE_R_TARIFF_B_HOTVSNA">'ГВС. Т-транс'!$57:$58</definedName>
    <definedName name="BLOCK_NOTE_R_TARIFF_B_VOTV">'ВО. Т-транс'!$56:$57</definedName>
    <definedName name="BLOCK_NOTE_R_TARIFF_C">'ТС. Т-ТН'!$62:$65</definedName>
    <definedName name="BLOCK_NOTE_R_TARIFF_C_COLDVSNA">'ХВС. Т-транс'!$56:$57</definedName>
    <definedName name="BLOCK_NOTE_R_TARIFF_C_HOTVSNA">'ГВС. Т-подкл'!$66:$67</definedName>
    <definedName name="BLOCK_NOTE_R_TARIFF_C_VOTV">'ВО. Т-подкл'!$66:$67</definedName>
    <definedName name="BLOCK_NOTE_R_TARIFF_D">'ТС. Т-гор.вода'!$69:$71</definedName>
    <definedName name="BLOCK_NOTE_R_TARIFF_D_COLDVSNA">'ХВС. Т-подвоз'!$56:$57</definedName>
    <definedName name="BLOCK_NOTE_R_TARIFF_E_COLDVSNA">'ХВС. Т-подкл'!$66:$67</definedName>
    <definedName name="BLOCK_NOTE_R_TARIFF_E1">'ТС. Т-передача ТЭ'!$62:$65</definedName>
    <definedName name="BLOCK_NOTE_R_TARIFF_E2">'ТС. Т-передача ТН'!$62:$65</definedName>
    <definedName name="BLOCK_NOTE_R_TARIFF_F">'ТС. Резерв мощности'!$61:$64</definedName>
    <definedName name="BLOCK_NOTE_R_TARIFF_G">'ТС. Т-подкл'!$66:$68</definedName>
    <definedName name="BLOCK_NOTE_R_TARIFF_H">'ТС. Т-подкл(инд)'!$63:$65</definedName>
    <definedName name="BLOCK_NOTE_R_TARIFF_I">'ТС. Т-ТЭ | предел'!$61:$64</definedName>
    <definedName name="BLOCK_NOTE_R_TARIFF_I_1">'ТС. Т-ТЭ | индикат'!$61:$64</definedName>
    <definedName name="BLOCK_PERIOD_DATA">Титульный!$13:$13</definedName>
    <definedName name="BLOCK_PERIOD_QUARTER">Титульный!$15:$15</definedName>
    <definedName name="BLOCK_PERIOD_TWO_DATA">Титульный!$11:$12</definedName>
    <definedName name="BLOCK_PERIOD_YEAR">Титульный!$14:$14</definedName>
    <definedName name="BLOCK_POK_FHD_COLDVSNA_P1">'Показатели ФХД'!$82:$90</definedName>
    <definedName name="BLOCK_POK_FHD_COLDVSNA_P2">'Показатели ФХД'!$115:$119</definedName>
    <definedName name="BLOCK_POK_FHD_HEAT_ONLY_REG_ORG_P1">'Показатели ФХД'!$56:$57</definedName>
    <definedName name="BLOCK_POK_FHD_HEAT_ONLY_REG_ORG_P2">'Показатели ФХД'!$80:$131</definedName>
    <definedName name="BLOCK_POK_FHD_HEAT_P1">'Показатели ФХД'!$33:$40</definedName>
    <definedName name="BLOCK_POK_FHD_HEAT_P2">'Показатели ФХД'!$72:$72</definedName>
    <definedName name="BLOCK_POK_FHD_HEAT_P3">'Показатели ФХД'!$99:$111</definedName>
    <definedName name="BLOCK_POK_FHD_HEAT_P4">'Показатели ФХД'!$113:$113</definedName>
    <definedName name="BLOCK_POK_FHD_HEAT_P5">'Показатели ФХД'!$120:$130</definedName>
    <definedName name="BLOCK_POK_FHD_HEAT_P6">'Показатели ФХД'!$47:$47</definedName>
    <definedName name="BLOCK_POK_FHD_HOTVSNA_P1">'Показатели ФХД'!$41:$43</definedName>
    <definedName name="BLOCK_POK_FHD_HOTVSNA_P2">'Показатели ФХД'!$91:$95</definedName>
    <definedName name="BLOCK_POK_FHD_NOT_HEAT_P1">'Показатели ФХД'!$67:$68</definedName>
    <definedName name="BLOCK_POK_FHD_NOT_HEAT_P2">'Показатели ФХД'!$80:$80</definedName>
    <definedName name="BLOCK_POK_FHD_NOT_HOTVSNA">'Показатели ФХД'!$48:$48</definedName>
    <definedName name="BLOCK_POK_FHD_VOTV_P1">'Показатели ФХД'!$96:$98</definedName>
    <definedName name="BLOCK_POK_FHD_VSNA">'Показатели ФХД'!$114:$114</definedName>
    <definedName name="BLOCK_POK_FHD20_NOT_HEAT">'Показатели ФХД &gt;20%'!$20:$22</definedName>
    <definedName name="BLOCK_POK_KNE_COLDVSNA">'Показатели КНЭ'!$37:$63</definedName>
    <definedName name="BLOCK_POK_KNE_HEAT">'Показатели КНЭ'!$13:$35</definedName>
    <definedName name="BLOCK_POK_KNE_HOTVSNA">'Показатели КНЭ'!$65:$75</definedName>
    <definedName name="BLOCK_POK_KNE_VOTV">'Показатели КНЭ'!$77:$100</definedName>
    <definedName name="BLOCK_PRICE_INDICATORS_HEAT">Титульный!$42:$47</definedName>
    <definedName name="BLOCK_PRICE_INDICATORS_LEVEL">Титульный!$43:$44</definedName>
    <definedName name="BLOCK_PRICE_IST_TE">'Перечень тарифов'!$S:$V</definedName>
    <definedName name="BLOCK_PRICE_REQUEST">Титульный!$20:$24</definedName>
    <definedName name="BLOCK_PT_COLDVSNA">'Перечень тарифов'!$83:$107</definedName>
    <definedName name="BLOCK_PT_HEAT">'Перечень тарифов'!$13:$81</definedName>
    <definedName name="BLOCK_PT_HEAT_NOT_R">'Перечень тарифов'!$67:$71</definedName>
    <definedName name="BLOCK_PT_HEAT_NOT_R_TMP">'Перечень тарифов'!$62:$66</definedName>
    <definedName name="BLOCK_PT_HEAT_PHEAT">'Перечень тарифов'!$27:$31</definedName>
    <definedName name="BLOCK_PT_HEAT_PHEAT_HIDDEN_FORMULAS">'Перечень тарифов'!$Z$27:$AQ$27</definedName>
    <definedName name="BLOCK_PT_HEAT_RHEAT">'Перечень тарифов'!$18:$26</definedName>
    <definedName name="BLOCK_PT_HEAT_RHEAT_HIDDEN_FORMULAS">'Перечень тарифов'!$Z$18:$AQ$18</definedName>
    <definedName name="BLOCK_PT_HOTVSNA">'Перечень тарифов'!$109:$123</definedName>
    <definedName name="BLOCK_PT_VOTV">'Перечень тарифов'!$125:$139</definedName>
    <definedName name="BLOCK_TABLE_P_TARIFF_A">'ТС. Т-ТЭ | &gt;=25МВт'!$28:$32</definedName>
    <definedName name="BLOCK_TABLE_P_TARIFF_A_COLDVSNA">'ХВС. Т-пит'!$26:$30</definedName>
    <definedName name="BLOCK_TABLE_P_TARIFF_A_HOTVSNA">'ГВС. Т-гор.вода'!$26:$30</definedName>
    <definedName name="BLOCK_TABLE_P_TARIFF_A_VOTV">'ВО. Т-во'!$26:$30</definedName>
    <definedName name="BLOCK_TABLE_P_TARIFF_B">'ТС. Т-ТЭ | ТСО'!$28:$32</definedName>
    <definedName name="BLOCK_TABLE_P_TARIFF_B_COLDVSNA">'ХВС. Т-тех'!$26:$30</definedName>
    <definedName name="BLOCK_TABLE_P_TARIFF_B_HOTVSNA">'ГВС. Т-транс'!$26:$30</definedName>
    <definedName name="BLOCK_TABLE_P_TARIFF_B_VOTV">'ВО. Т-транс'!$26:$30</definedName>
    <definedName name="BLOCK_TABLE_P_TARIFF_C">'ТС. Т-ТН'!$28:$32</definedName>
    <definedName name="BLOCK_TABLE_P_TARIFF_C_COLDVSNA">'ХВС. Т-транс'!$26:$30</definedName>
    <definedName name="BLOCK_TABLE_P_TARIFF_C_HOTVSNA">'ГВС. Т-подкл'!$30:$34</definedName>
    <definedName name="BLOCK_TABLE_P_TARIFF_C_VOTV">'ВО. Т-подкл'!$30:$34</definedName>
    <definedName name="BLOCK_TABLE_P_TARIFF_D">'ТС. Т-гор.вода'!$32:$36</definedName>
    <definedName name="BLOCK_TABLE_P_TARIFF_D_COLDVSNA">'ХВС. Т-подвоз'!$26:$30</definedName>
    <definedName name="BLOCK_TABLE_P_TARIFF_E_COLDVSNA">'ХВС. Т-подкл'!$30:$34</definedName>
    <definedName name="BLOCK_TABLE_P_TARIFF_E1">'ТС. Т-передача ТЭ'!$28:$32</definedName>
    <definedName name="BLOCK_TABLE_P_TARIFF_E2">'ТС. Т-передача ТН'!$28:$32</definedName>
    <definedName name="BLOCK_TABLE_P_TARIFF_F">'ТС. Резерв мощности'!$28:$32</definedName>
    <definedName name="BLOCK_TABLE_P_TARIFF_G">'ТС. Т-подкл'!$29:$33</definedName>
    <definedName name="BLOCK_TABLE_P_TARIFF_H">'ТС. Т-подкл(инд)'!$26:$30</definedName>
    <definedName name="BLOCK_TABLE_P_TARIFF_I">'ТС. Т-ТЭ | предел'!$28:$32</definedName>
    <definedName name="BLOCK_TABLE_P_TARIFF_I_1">'ТС. Т-ТЭ | индикат'!$28:$32</definedName>
    <definedName name="BLOCK_TABLE_R_TARIFF_A">'ТС. Т-ТЭ | &gt;=25МВт'!$33:$35</definedName>
    <definedName name="BLOCK_TABLE_R_TARIFF_A_COLDVSNA">'ХВС. Т-пит'!$31:$33</definedName>
    <definedName name="BLOCK_TABLE_R_TARIFF_A_HOTVSNA">'ГВС. Т-гор.вода'!$31:$33</definedName>
    <definedName name="BLOCK_TABLE_R_TARIFF_A_VOTV">'ВО. Т-во'!$31:$33</definedName>
    <definedName name="BLOCK_TABLE_R_TARIFF_B">'ТС. Т-ТЭ | ТСО'!$33:$35</definedName>
    <definedName name="BLOCK_TABLE_R_TARIFF_B_COLDVSNA">'ХВС. Т-тех'!$31:$33</definedName>
    <definedName name="BLOCK_TABLE_R_TARIFF_B_HOTVSNA">'ГВС. Т-транс'!$31:$33</definedName>
    <definedName name="BLOCK_TABLE_R_TARIFF_B_VOTV">'ВО. Т-транс'!$31:$33</definedName>
    <definedName name="BLOCK_TABLE_R_TARIFF_C">'ТС. Т-ТН'!$33:$35</definedName>
    <definedName name="BLOCK_TABLE_R_TARIFF_C_COLDVSNA">'ХВС. Т-транс'!$31:$33</definedName>
    <definedName name="BLOCK_TABLE_R_TARIFF_C_HOTVSNA">'ГВС. Т-подкл'!$35:$37</definedName>
    <definedName name="BLOCK_TABLE_R_TARIFF_C_VOTV">'ВО. Т-подкл'!$35:$37</definedName>
    <definedName name="BLOCK_TABLE_R_TARIFF_D">'ТС. Т-гор.вода'!$37:$39</definedName>
    <definedName name="BLOCK_TABLE_R_TARIFF_D_COLDVSNA">'ХВС. Т-подвоз'!$31:$33</definedName>
    <definedName name="BLOCK_TABLE_R_TARIFF_E_COLDVSNA">'ХВС. Т-подкл'!$35:$37</definedName>
    <definedName name="BLOCK_TABLE_R_TARIFF_E1">'ТС. Т-передача ТЭ'!$33:$35</definedName>
    <definedName name="BLOCK_TABLE_R_TARIFF_E2">'ТС. Т-передача ТН'!$33:$35</definedName>
    <definedName name="BLOCK_TABLE_R_TARIFF_F">'ТС. Резерв мощности'!$33:$35</definedName>
    <definedName name="BLOCK_TABLE_R_TARIFF_G">'ТС. Т-подкл'!$34:$36</definedName>
    <definedName name="BLOCK_TABLE_R_TARIFF_H">'ТС. Т-подкл(инд)'!$31:$33</definedName>
    <definedName name="BLOCK_TABLE_R_TARIFF_I">'ТС. Т-ТЭ | предел'!$33:$35</definedName>
    <definedName name="BLOCK_TABLE_R_TARIFF_I_1">'ТС. Т-ТЭ | индикат'!$33:$35</definedName>
    <definedName name="BLOCK_TEMPLATES_INVEST_TIT">Титульный!$59:$60</definedName>
    <definedName name="BLOCK_TERMS_HEAT_P1">Договоры!$19:$19</definedName>
    <definedName name="BLOCK_TERMS_NOT_TKO_P1">Договоры!$16:$18</definedName>
    <definedName name="BLOCK_TERMS_NOT_TKO_P2">Договоры!$20:$22</definedName>
    <definedName name="BLOCK_TERMS_TKO_TRANS">Договоры!$23:$26</definedName>
    <definedName name="BLOCK_TERRITORY_INFO">'Список территорий'!$7:$7</definedName>
    <definedName name="BLOCK_TITLE_ROIV_INFO">Титульный!$9:$9</definedName>
    <definedName name="BLOCK_WARM_ORG_TYPE">Титульный!$36:$36</definedName>
    <definedName name="checkCell_List01">'Список территорий'!$E$17:$I$17</definedName>
    <definedName name="checkCell_List07">'Сведения об изменении'!$D$11:$E$13</definedName>
    <definedName name="CLASS_TKO_LIST">TEHSHEET!$AZ$90:$AZ$94</definedName>
    <definedName name="code">Инструкция!$B$2</definedName>
    <definedName name="CodeTemplateList">TEHSHEET!$F$46:$F$53</definedName>
    <definedName name="COLDVSNA_FIN_SRC_LIST">TEHSHEET!$BJ$4:$BJ$34</definedName>
    <definedName name="COLDVSNA_FIN_SRC_VLD_LIST">TEHSHEET!$BJ$39:$BJ$60</definedName>
    <definedName name="COLDVSNA_IP_EVENT_CI_STAGE_LIST">TEHSHEET!$BJ$97:$BJ$100</definedName>
    <definedName name="COLDVSNA_IP_EVENT_GROUP_LIST">TEHSHEET!$BJ$69:$BJ$76</definedName>
    <definedName name="COLDVSNA_IP_EVENT_SUBGROUP_1_LIST">TEHSHEET!$BJ$80:$BJ$83</definedName>
    <definedName name="COLDVSNA_IP_EVENT_SUBGROUP_3_LIST">TEHSHEET!$BJ$87:$BJ$88</definedName>
    <definedName name="COLDVSNA_IP_EVENT_SUBGROUP_5_LIST">TEHSHEET!$BJ$92:$BJ$93</definedName>
    <definedName name="COLDVSNA_IP_EVENT_TYPE_LIST">TEHSHEET!$BJ$108</definedName>
    <definedName name="COLDVSNA_PT_VED_ID">TEHSHEET!$BT$19:$BT$25</definedName>
    <definedName name="COLDVSNA_PT_VED_NAME">TEHSHEET!$BU$19:$BU$25</definedName>
    <definedName name="COLDVSNA_PT_VED_NAME_LIST">TEHSHEET!$BT$19:$BU$25</definedName>
    <definedName name="COLDVSNA_TARIFF_A_COLDVSNA_ADD_HL_COLUMN_MARKER">'ХВС. Т-пит'!$T$34</definedName>
    <definedName name="COLDVSNA_TARIFF_A_COLDVSNA_DEL_HL_DATA_DIFF_COLUMN_MARKER">'ХВС. Т-пит'!$R$34</definedName>
    <definedName name="COLDVSNA_TARIFF_A_COLDVSNA_DEL_HL_FLAG_DIFF_COLUMN_MARKER">'ХВС. Т-пит'!$P$34</definedName>
    <definedName name="COLDVSNA_TARIFF_A_COLDVSNA_DEL_HL_GC_COLUMN_MARKER">'ХВС. Т-пит'!$Q$34</definedName>
    <definedName name="COLDVSNA_TARIFF_A_COLDVSNA_DELETE_PERIOD_ROW_MARKER">'ХВС. Т-пит'!$O$35</definedName>
    <definedName name="COLDVSNA_TARIFF_A_COLDVSNA_FLAG_BLOCK_COLUMN_MARKER">'ХВС. Т-пит'!$L$36</definedName>
    <definedName name="COLDVSNA_TARIFF_A_COLDVSNA_FLAG_BLOCK_ROW_MARKER">'ХВС. Т-пит'!$O$20</definedName>
    <definedName name="COLDVSNA_TARIFF_A_COLDVSNA_NUM_CS_COLUMN_MARKER">'ХВС. Т-пит'!$G$36</definedName>
    <definedName name="COLDVSNA_TARIFF_A_COLDVSNA_NUM_DATA_DIFF_COLUMN_MARKER">'ХВС. Т-пит'!$K$36</definedName>
    <definedName name="COLDVSNA_TARIFF_A_COLDVSNA_NUM_FLAG_DIFF_COLUMN_MARKER">'ХВС. Т-пит'!$I$36</definedName>
    <definedName name="COLDVSNA_TARIFF_A_COLDVSNA_NUM_GC_COLUMN_MARKER">'ХВС. Т-пит'!$J$36</definedName>
    <definedName name="COLDVSNA_TARIFF_A_COLDVSNA_NUM_NTAR_COLUMN_MARKER">'ХВС. Т-пит'!$E$36</definedName>
    <definedName name="COLDVSNA_TARIFF_A_COLDVSNA_NUM_TER_COLUMN_MARKER">'ХВС. Т-пит'!$F$36</definedName>
    <definedName name="COLDVSNA_TARIFF_B_COLDVSNA_ADD_HL_COLUMN_MARKER">'ХВС. Т-тех'!$T$34</definedName>
    <definedName name="COLDVSNA_TARIFF_B_COLDVSNA_DEL_HL_DATA_DIFF_COLUMN_MARKER">'ХВС. Т-тех'!$R$34</definedName>
    <definedName name="COLDVSNA_TARIFF_B_COLDVSNA_DEL_HL_FLAG_DIFF_COLUMN_MARKER">'ХВС. Т-тех'!$P$34</definedName>
    <definedName name="COLDVSNA_TARIFF_B_COLDVSNA_DEL_HL_GC_COLUMN_MARKER">'ХВС. Т-тех'!$Q$34</definedName>
    <definedName name="COLDVSNA_TARIFF_B_COLDVSNA_DELETE_PERIOD_ROW_MARKER">'ХВС. Т-тех'!$O$35</definedName>
    <definedName name="COLDVSNA_TARIFF_B_COLDVSNA_FLAG_BLOCK_COLUMN_MARKER">'ХВС. Т-тех'!$L$36</definedName>
    <definedName name="COLDVSNA_TARIFF_B_COLDVSNA_FLAG_BLOCK_ROW_MARKER">'ХВС. Т-тех'!$O$20</definedName>
    <definedName name="COLDVSNA_TARIFF_B_COLDVSNA_NUM_CS_COLUMN_MARKER">'ХВС. Т-тех'!$G$36</definedName>
    <definedName name="COLDVSNA_TARIFF_B_COLDVSNA_NUM_DATA_DIFF_COLUMN_MARKER">'ХВС. Т-тех'!$K$36</definedName>
    <definedName name="COLDVSNA_TARIFF_B_COLDVSNA_NUM_FLAG_DIFF_COLUMN_MARKER">'ХВС. Т-тех'!$I$36</definedName>
    <definedName name="COLDVSNA_TARIFF_B_COLDVSNA_NUM_GC_COLUMN_MARKER">'ХВС. Т-тех'!$J$36</definedName>
    <definedName name="COLDVSNA_TARIFF_B_COLDVSNA_NUM_NTAR_COLUMN_MARKER">'ХВС. Т-тех'!$E$36</definedName>
    <definedName name="COLDVSNA_TARIFF_B_COLDVSNA_NUM_TER_COLUMN_MARKER">'ХВС. Т-тех'!$F$36</definedName>
    <definedName name="COLDVSNA_TARIFF_C_COLDVSNA_ADD_HL_COLUMN_MARKER">'ХВС. Т-транс'!$T$34</definedName>
    <definedName name="COLDVSNA_TARIFF_C_COLDVSNA_DEL_HL_DATA_DIFF_COLUMN_MARKER">'ХВС. Т-транс'!$R$34</definedName>
    <definedName name="COLDVSNA_TARIFF_C_COLDVSNA_DEL_HL_FLAG_DIFF_COLUMN_MARKER">'ХВС. Т-транс'!$P$34</definedName>
    <definedName name="COLDVSNA_TARIFF_C_COLDVSNA_DEL_HL_GC_COLUMN_MARKER">'ХВС. Т-транс'!$Q$34</definedName>
    <definedName name="COLDVSNA_TARIFF_C_COLDVSNA_DELETE_PERIOD_ROW_MARKER">'ХВС. Т-транс'!$O$35</definedName>
    <definedName name="COLDVSNA_TARIFF_C_COLDVSNA_FLAG_BLOCK_COLUMN_MARKER">'ХВС. Т-транс'!$L$36</definedName>
    <definedName name="COLDVSNA_TARIFF_C_COLDVSNA_FLAG_BLOCK_ROW_MARKER">'ХВС. Т-транс'!$O$20</definedName>
    <definedName name="COLDVSNA_TARIFF_C_COLDVSNA_NUM_CS_COLUMN_MARKER">'ХВС. Т-транс'!$G$36</definedName>
    <definedName name="COLDVSNA_TARIFF_C_COLDVSNA_NUM_DATA_DIFF_COLUMN_MARKER">'ХВС. Т-транс'!$K$36</definedName>
    <definedName name="COLDVSNA_TARIFF_C_COLDVSNA_NUM_FLAG_DIFF_COLUMN_MARKER">'ХВС. Т-транс'!$I$36</definedName>
    <definedName name="COLDVSNA_TARIFF_C_COLDVSNA_NUM_GC_COLUMN_MARKER">'ХВС. Т-транс'!$J$36</definedName>
    <definedName name="COLDVSNA_TARIFF_C_COLDVSNA_NUM_NTAR_COLUMN_MARKER">'ХВС. Т-транс'!$E$36</definedName>
    <definedName name="COLDVSNA_TARIFF_C_COLDVSNA_NUM_TER_COLUMN_MARKER">'ХВС. Т-транс'!$F$36</definedName>
    <definedName name="COLDVSNA_TARIFF_D_COLDVSNA_ADD_HL_COLUMN_MARKER">'ХВС. Т-подвоз'!$T$34</definedName>
    <definedName name="COLDVSNA_TARIFF_D_COLDVSNA_DEL_HL_DATA_DIFF_COLUMN_MARKER">'ХВС. Т-подвоз'!$R$34</definedName>
    <definedName name="COLDVSNA_TARIFF_D_COLDVSNA_DEL_HL_FLAG_DIFF_COLUMN_MARKER">'ХВС. Т-подвоз'!$P$34</definedName>
    <definedName name="COLDVSNA_TARIFF_D_COLDVSNA_DEL_HL_GC_COLUMN_MARKER">'ХВС. Т-подвоз'!$Q$34</definedName>
    <definedName name="COLDVSNA_TARIFF_D_COLDVSNA_DELETE_PERIOD_ROW_MARKER">'ХВС. Т-подвоз'!$O$35</definedName>
    <definedName name="COLDVSNA_TARIFF_D_COLDVSNA_FLAG_BLOCK_COLUMN_MARKER">'ХВС. Т-подвоз'!$L$36</definedName>
    <definedName name="COLDVSNA_TARIFF_D_COLDVSNA_FLAG_BLOCK_ROW_MARKER">'ХВС. Т-подвоз'!$O$20</definedName>
    <definedName name="COLDVSNA_TARIFF_D_COLDVSNA_NUM_CS_COLUMN_MARKER">'ХВС. Т-подвоз'!$G$36</definedName>
    <definedName name="COLDVSNA_TARIFF_D_COLDVSNA_NUM_DATA_DIFF_COLUMN_MARKER">'ХВС. Т-подвоз'!$K$36</definedName>
    <definedName name="COLDVSNA_TARIFF_D_COLDVSNA_NUM_FLAG_DIFF_COLUMN_MARKER">'ХВС. Т-подвоз'!$I$36</definedName>
    <definedName name="COLDVSNA_TARIFF_D_COLDVSNA_NUM_GC_COLUMN_MARKER">'ХВС. Т-подвоз'!$J$36</definedName>
    <definedName name="COLDVSNA_TARIFF_D_COLDVSNA_NUM_NTAR_COLUMN_MARKER">'ХВС. Т-подвоз'!$E$36</definedName>
    <definedName name="COLDVSNA_TARIFF_D_COLDVSNA_NUM_TER_COLUMN_MARKER">'ХВС. Т-подвоз'!$F$36</definedName>
    <definedName name="COLDVSNA_TARIFF_E_COLDVSNA_ADD_HL_COLUMN_MARKER">'ХВС. Т-подкл'!$T$38</definedName>
    <definedName name="COLDVSNA_TARIFF_E_COLDVSNA_ADD_HL_DIAMETERS_COLUMN_MARKER">'ХВС. Т-подкл'!$AK$38</definedName>
    <definedName name="COLDVSNA_TARIFF_E_COLDVSNA_ADD_HL_LEN_COLUMN_MARKER">'ХВС. Т-подкл'!$AO$38</definedName>
    <definedName name="COLDVSNA_TARIFF_E_COLDVSNA_ADD_HL_LOAD_COLUMN_MARKER">'ХВС. Т-подкл'!$AG$38</definedName>
    <definedName name="COLDVSNA_TARIFF_E_COLDVSNA_ADD_HL_NETS_COLUMN_MARKER">'ХВС. Т-подкл'!$AS$38</definedName>
    <definedName name="COLDVSNA_TARIFF_E_COLDVSNA_DEL_HL_DATA_DIFF_COLUMN_MARKER">'ХВС. Т-подкл'!$R$38</definedName>
    <definedName name="COLDVSNA_TARIFF_E_COLDVSNA_DEL_HL_DIAMETERS_COLUMN_MARKER">'ХВС. Т-подкл'!$AI$38</definedName>
    <definedName name="COLDVSNA_TARIFF_E_COLDVSNA_DEL_HL_FLAG_DIFF_COLUMN_MARKER">'ХВС. Т-подкл'!$P$38</definedName>
    <definedName name="COLDVSNA_TARIFF_E_COLDVSNA_DEL_HL_GC_COLUMN_MARKER">'ХВС. Т-подкл'!$Q$38</definedName>
    <definedName name="COLDVSNA_TARIFF_E_COLDVSNA_DEL_HL_LEN_COLUMN_MARKER">'ХВС. Т-подкл'!$AM$38</definedName>
    <definedName name="COLDVSNA_TARIFF_E_COLDVSNA_DEL_HL_LOAD_COLUMN_MARKER">'ХВС. Т-подкл'!$AE$38</definedName>
    <definedName name="COLDVSNA_TARIFF_E_COLDVSNA_DEL_HL_NETS_COLUMN_MARKER">'ХВС. Т-подкл'!$AQ$38</definedName>
    <definedName name="COLDVSNA_TARIFF_E_COLDVSNA_DELETE_PERIOD_ROW_MARKER">'ХВС. Т-подкл'!$O$39</definedName>
    <definedName name="COLDVSNA_TARIFF_E_COLDVSNA_FLAG_BLOCK_COLUMN_MARKER">'ХВС. Т-подкл'!$L$44</definedName>
    <definedName name="COLDVSNA_TARIFF_E_COLDVSNA_FLAG_BLOCK_ROW_MARKER">'ХВС. Т-подкл'!$O$24</definedName>
    <definedName name="COLDVSNA_TARIFF_E_COLDVSNA_NUM_CS_COLUMN_MARKER">'ХВС. Т-подкл'!$G$44</definedName>
    <definedName name="COLDVSNA_TARIFF_E_COLDVSNA_NUM_DATA_DIFF_COLUMN_MARKER">'ХВС. Т-подкл'!$K$44</definedName>
    <definedName name="COLDVSNA_TARIFF_E_COLDVSNA_NUM_DIAMETERS_COLUMN_MARKER">'ХВС. Т-подкл'!$AJ$38</definedName>
    <definedName name="COLDVSNA_TARIFF_E_COLDVSNA_NUM_FLAG_DIFF_COLUMN_MARKER">'ХВС. Т-подкл'!$I$44</definedName>
    <definedName name="COLDVSNA_TARIFF_E_COLDVSNA_NUM_GC_COLUMN_MARKER">'ХВС. Т-подкл'!$J$44</definedName>
    <definedName name="COLDVSNA_TARIFF_E_COLDVSNA_NUM_LEN_COLUMN_MARKER">'ХВС. Т-подкл'!$AN$38</definedName>
    <definedName name="COLDVSNA_TARIFF_E_COLDVSNA_NUM_LOAD_COLUMN_MARKER">'ХВС. Т-подкл'!$AF$38</definedName>
    <definedName name="COLDVSNA_TARIFF_E_COLDVSNA_NUM_NETS_COLUMN_MARKER">'ХВС. Т-подкл'!$AR$38</definedName>
    <definedName name="COLDVSNA_TARIFF_E_COLDVSNA_NUM_NTAR_COLUMN_MARKER">'ХВС. Т-подкл'!$E$44</definedName>
    <definedName name="COLDVSNA_TARIFF_E_COLDVSNA_NUM_TER_COLUMN_MARKER">'ХВС. Т-подкл'!$F$44</definedName>
    <definedName name="cross_without_borders">TEHSHEET!$J$27</definedName>
    <definedName name="CS_ID">TEHSHEET!$E$63</definedName>
    <definedName name="CURRENT_DATE">TEHSHEET!$H$29</definedName>
    <definedName name="CURRENT_YEAR">TEHSHEET!$G$44</definedName>
    <definedName name="DATA_URL">TEHSHEET!$H$32</definedName>
    <definedName name="DIFFERENTIATION_AREA">Дифференциация!$I$12:$I$16</definedName>
    <definedName name="DIFFERENTIATION_AREA_ID">Дифференциация!$U$11:$U$17</definedName>
    <definedName name="DIFFERENTIATION_CheckC">Дифференциация!$D$12:$M$16</definedName>
    <definedName name="DIFFERENTIATION_fieldMarker">Дифференциация!$W$12:$W$16</definedName>
    <definedName name="DIFFERENTIATION_ID">TEHSHEET!$E$57</definedName>
    <definedName name="DIFFERENTIATION_ID_DIFF">Дифференциация!$O$12:$O$16</definedName>
    <definedName name="DIFFERENTIATION_SYSTEM">Дифференциация!$M$12:$M$16</definedName>
    <definedName name="DIFFERENTIATION_TARIFF_AREA_ID">'Перечень тарифов'!$Z$12:$Z$141</definedName>
    <definedName name="DIFFERENTIATION_TARIFF_VD_ID">'Перечень тарифов'!$AB$12:$AB$141</definedName>
    <definedName name="DIFFERENTIATION_TARIFF_VTAR_ID">'Перечень тарифов'!$AA$12:$AA$141</definedName>
    <definedName name="DIFFERENTIATION_TKO_ADD_HL_CLASS_TKO_COLUMN_MARKER">'Дифференциация тариф показатель'!$AH$7</definedName>
    <definedName name="DIFFERENTIATION_TKO_ADD_HL_NTAR_COLUMN_MARKER">'Дифференциация тариф показатель'!$J$7</definedName>
    <definedName name="DIFFERENTIATION_TKO_ADD_HL_TER_COLUMN_MARKER">'Дифференциация тариф показатель'!$V$7</definedName>
    <definedName name="DIFFERENTIATION_TKO_ADD_HL_TO_COLUMN_MARKER">'Дифференциация тариф показатель'!$P$7</definedName>
    <definedName name="DIFFERENTIATION_TKO_ADD_HL_TYPE_TKO_COLUMN_MARKER">'Дифференциация тариф показатель'!$AB$7</definedName>
    <definedName name="DIFFERENTIATION_TKO_ADD_HL_VTAR_COLUMN_MARKER">'Дифференциация тариф показатель'!$F$7</definedName>
    <definedName name="DIFFERENTIATION_TKO_AREA_ID">'Дифференциация тариф показатель'!$AK$11:$AK$41</definedName>
    <definedName name="DIFFERENTIATION_TKO_DEL_HL_CLASS_TKO_COLUMN_MARKER">'Дифференциация тариф показатель'!$AF$7</definedName>
    <definedName name="DIFFERENTIATION_TKO_DEL_HL_NTAR_COLUMN_MARKER">'Дифференциация тариф показатель'!$H$7</definedName>
    <definedName name="DIFFERENTIATION_TKO_DEL_HL_TER_COLUMN_MARKER">'Дифференциация тариф показатель'!$T$7</definedName>
    <definedName name="DIFFERENTIATION_TKO_DEL_HL_TO_COLUMN_MARKER">'Дифференциация тариф показатель'!$N$7</definedName>
    <definedName name="DIFFERENTIATION_TKO_DEL_HL_TYPE_TKO_COLUMN_MARKER">'Дифференциация тариф показатель'!$Z$7</definedName>
    <definedName name="DIFFERENTIATION_TKO_FLAG_DIFF_CLASS_TKO_ETC_COLUMN_MARKER">'Дифференциация тариф показатель'!$AE$7</definedName>
    <definedName name="DIFFERENTIATION_TKO_FLAG_DIFF_CLASS_TKO_TARIFF_COLUMN_MARKER">'Дифференциация тариф показатель'!$AD$7</definedName>
    <definedName name="DIFFERENTIATION_TKO_FLAG_DIFF_TER_ETC_COLUMN_MARKER">'Дифференциация тариф показатель'!$S$7</definedName>
    <definedName name="DIFFERENTIATION_TKO_FLAG_DIFF_TER_TARIFF_COLUMN_MARKER">'Дифференциация тариф показатель'!$R$7</definedName>
    <definedName name="DIFFERENTIATION_TKO_FLAG_DIFF_TO_ETC_COLUMN_MARKER">'Дифференциация тариф показатель'!$M$7</definedName>
    <definedName name="DIFFERENTIATION_TKO_FLAG_DIFF_TO_TARIFF_COLUMN_MARKER">'Дифференциация тариф показатель'!$L$7</definedName>
    <definedName name="DIFFERENTIATION_TKO_FLAG_DIFF_TYPE_TKO_ETC_COLUMN_MARKER">'Дифференциация тариф показатель'!$Y$7</definedName>
    <definedName name="DIFFERENTIATION_TKO_FLAG_DIFF_TYPE_TKO_TARIFF_COLUMN_MARKER">'Дифференциация тариф показатель'!$X$7</definedName>
    <definedName name="DIFFERENTIATION_TKO_FLAG_VTAR_COLUMN_MARKER">'Дифференциация тариф показатель'!$G$7</definedName>
    <definedName name="DIFFERENTIATION_TKO_TER_ID">'Дифференциация тариф показатель'!$AL$11:$AL$41</definedName>
    <definedName name="DIFFERENTIATION_UNMERGE_AREA">Дифференциация!$Q$12:$Q$16</definedName>
    <definedName name="DIFFERENTIATION_UNMERGE_SYSTEM">Дифференциация!$R$12:$R$16</definedName>
    <definedName name="DIFFERENTIATION_UNMERGE_VD">Дифференциация!$P$12:$P$16</definedName>
    <definedName name="DIFFERENTIATION_VD">Дифференциация!$E$12:$E$16</definedName>
    <definedName name="DIFFERENTIATION_VD_ID">Дифференциация!$V$11:$V$17</definedName>
    <definedName name="ED_DATE">ЭД!$G$12:$G$13</definedName>
    <definedName name="ED_DATE_PARKING">ЭД!$I$5</definedName>
    <definedName name="ED_LINK">ЭД!$H$12:$H$13</definedName>
    <definedName name="EndDateList">TEHSHEET!$H$46:$H$53</definedName>
    <definedName name="et_B_FHD20_1_HEAT">et_union_hor!$127:$135</definedName>
    <definedName name="et_B_FHD20_1_NOT_HEAT">et_union_hor!$115:$123</definedName>
    <definedName name="et_B_FHD20_2">et_union_hor!$139:$142</definedName>
    <definedName name="et_B_FHD20_3">et_union_hor!$147:$148</definedName>
    <definedName name="et_B_FHD20_4">et_union_hor!$150:$150</definedName>
    <definedName name="et_B_STANDARTS">'Стандарты качества'!$2:$2</definedName>
    <definedName name="et_CHANGE_INFO">et_union_hor!$4:$4</definedName>
    <definedName name="et_COLDVSNA_TARIFF_A_COLDVSNA_CS">'ХВС. Т-пит'!$4:$11</definedName>
    <definedName name="et_COLDVSNA_TARIFF_A_COLDVSNA_DATA_DIFF">'ХВС. Т-пит'!$7:$8</definedName>
    <definedName name="et_COLDVSNA_TARIFF_A_COLDVSNA_FLAG_DIFF">'ХВС. Т-пит'!$5:$10</definedName>
    <definedName name="et_COLDVSNA_TARIFF_A_COLDVSNA_GC">'ХВС. Т-пит'!$6:$9</definedName>
    <definedName name="et_COLDVSNA_TARIFF_A_COLDVSNA_NTAR">'ХВС. Т-пит'!$2:$13</definedName>
    <definedName name="et_COLDVSNA_TARIFF_A_COLDVSNA_PERIOD_COLOR">'ХВС. Т-пит'!$AC$7:$AI$8</definedName>
    <definedName name="et_COLDVSNA_TARIFF_A_COLDVSNA_PERIOD_NOT_COLOR">'ХВС. Т-пит'!$AC$15:$AI$16</definedName>
    <definedName name="et_COLDVSNA_TARIFF_A_COLDVSNA_TER">'ХВС. Т-пит'!$3:$12</definedName>
    <definedName name="et_COLDVSNA_TARIFF_A_COLDVSNA_TN">'ХВС. Т-пит'!$7:$8</definedName>
    <definedName name="et_COLDVSNA_TARIFF_B_COLDVSNA_CS">'ХВС. Т-тех'!$4:$11</definedName>
    <definedName name="et_COLDVSNA_TARIFF_B_COLDVSNA_DATA_DIFF">'ХВС. Т-тех'!$7:$8</definedName>
    <definedName name="et_COLDVSNA_TARIFF_B_COLDVSNA_FLAG_DIFF">'ХВС. Т-тех'!$5:$10</definedName>
    <definedName name="et_COLDVSNA_TARIFF_B_COLDVSNA_GC">'ХВС. Т-тех'!$6:$9</definedName>
    <definedName name="et_COLDVSNA_TARIFF_B_COLDVSNA_NTAR">'ХВС. Т-тех'!$2:$13</definedName>
    <definedName name="et_COLDVSNA_TARIFF_B_COLDVSNA_PERIOD_COLOR">'ХВС. Т-тех'!$AC$7:$AI$8</definedName>
    <definedName name="et_COLDVSNA_TARIFF_B_COLDVSNA_PERIOD_NOT_COLOR">'ХВС. Т-тех'!$AC$15:$AI$16</definedName>
    <definedName name="et_COLDVSNA_TARIFF_B_COLDVSNA_TER">'ХВС. Т-тех'!$3:$12</definedName>
    <definedName name="et_COLDVSNA_TARIFF_C_COLDVSNA_CS">'ХВС. Т-транс'!$4:$11</definedName>
    <definedName name="et_COLDVSNA_TARIFF_C_COLDVSNA_DATA_DIFF">'ХВС. Т-транс'!$7:$8</definedName>
    <definedName name="et_COLDVSNA_TARIFF_C_COLDVSNA_FLAG_DIFF">'ХВС. Т-транс'!$5:$10</definedName>
    <definedName name="et_COLDVSNA_TARIFF_C_COLDVSNA_GC">'ХВС. Т-транс'!$6:$9</definedName>
    <definedName name="et_COLDVSNA_TARIFF_C_COLDVSNA_NTAR">'ХВС. Т-транс'!$2:$13</definedName>
    <definedName name="et_COLDVSNA_TARIFF_C_COLDVSNA_PERIOD_COLOR">'ХВС. Т-транс'!$AC$7:$AI$8</definedName>
    <definedName name="et_COLDVSNA_TARIFF_C_COLDVSNA_PERIOD_NOT_COLOR">'ХВС. Т-транс'!$AC$15:$AI$16</definedName>
    <definedName name="et_COLDVSNA_TARIFF_C_COLDVSNA_TER">'ХВС. Т-транс'!$3:$12</definedName>
    <definedName name="et_COLDVSNA_TARIFF_D_COLDVSNA_CS">'ХВС. Т-подвоз'!$4:$11</definedName>
    <definedName name="et_COLDVSNA_TARIFF_D_COLDVSNA_DATA_DIFF">'ХВС. Т-подвоз'!$7:$8</definedName>
    <definedName name="et_COLDVSNA_TARIFF_D_COLDVSNA_FLAG_DIFF">'ХВС. Т-подвоз'!$5:$10</definedName>
    <definedName name="et_COLDVSNA_TARIFF_D_COLDVSNA_GC">'ХВС. Т-подвоз'!$6:$9</definedName>
    <definedName name="et_COLDVSNA_TARIFF_D_COLDVSNA_NTAR">'ХВС. Т-подвоз'!$2:$13</definedName>
    <definedName name="et_COLDVSNA_TARIFF_D_COLDVSNA_PERIOD_COLOR">'ХВС. Т-подвоз'!$AC$7:$AI$8</definedName>
    <definedName name="et_COLDVSNA_TARIFF_D_COLDVSNA_PERIOD_NOT_COLOR">'ХВС. Т-подвоз'!$AC$15:$AI$16</definedName>
    <definedName name="et_COLDVSNA_TARIFF_D_COLDVSNA_TER">'ХВС. Т-подвоз'!$3:$12</definedName>
    <definedName name="et_COLDVSNA_TARIFF_E_COLDVSNA_CS">'ХВС. Т-подкл'!$4:$16</definedName>
    <definedName name="et_COLDVSNA_TARIFF_E_COLDVSNA_DATA_DIFF">'ХВС. Т-подкл'!$8:$12</definedName>
    <definedName name="et_COLDVSNA_TARIFF_E_COLDVSNA_DIAMETERS">'ХВС. Т-подкл'!$8:$10</definedName>
    <definedName name="et_COLDVSNA_TARIFF_E_COLDVSNA_FLAG_DIFF">'ХВС. Т-подкл'!$6:$14</definedName>
    <definedName name="et_COLDVSNA_TARIFF_E_COLDVSNA_GC">'ХВС. Т-подкл'!$7:$13</definedName>
    <definedName name="et_COLDVSNA_TARIFF_E_COLDVSNA_LEN">'ХВС. Т-подкл'!$8:$9</definedName>
    <definedName name="et_COLDVSNA_TARIFF_E_COLDVSNA_LOAD">'ХВС. Т-подкл'!$8:$11</definedName>
    <definedName name="et_COLDVSNA_TARIFF_E_COLDVSNA_NETS">'ХВС. Т-подкл'!$8:$8</definedName>
    <definedName name="et_COLDVSNA_TARIFF_E_COLDVSNA_NTAR">'ХВС. Т-подкл'!$2:$18</definedName>
    <definedName name="et_COLDVSNA_TARIFF_E_COLDVSNA_PERIOD_COLOR">'ХВС. Т-подкл'!$AT$8:$BA$8</definedName>
    <definedName name="et_COLDVSNA_TARIFF_E_COLDVSNA_PERIOD_NOT_COLOR">'ХВС. Т-подкл'!$AT$20:$BA$20</definedName>
    <definedName name="et_COLDVSNA_TARIFF_E_COLDVSNA_TER">'ХВС. Т-подкл'!$3:$17</definedName>
    <definedName name="et_Comm">et_union_hor!$8:$8</definedName>
    <definedName name="et_DIFFERENTIATION_AREA">et_union_hor!$29:$30</definedName>
    <definedName name="et_DIFFERENTIATION_SYSTEM">et_union_hor!$34:$34</definedName>
    <definedName name="et_DIFFERENTIATION_TARIFF_COLOR">et_union_hor!$H$154:$W$158</definedName>
    <definedName name="et_DIFFERENTIATION_TARIFF_CS">et_union_hor!$169:$170</definedName>
    <definedName name="et_DIFFERENTIATION_TARIFF_IST_TE">et_union_hor!$172:$172</definedName>
    <definedName name="et_DIFFERENTIATION_TARIFF_NOT_COLOR">et_union_hor!$H$194:$W$198</definedName>
    <definedName name="et_DIFFERENTIATION_TARIFF_NOT_HEAT_COLOR">et_union_hor!$H$176:$W$180</definedName>
    <definedName name="et_DIFFERENTIATION_TARIFF_NOT_HEAT_CS">et_union_hor!$191:$192</definedName>
    <definedName name="et_DIFFERENTIATION_TARIFF_NOT_HEAT_NTAR">et_union_hor!$182:$185</definedName>
    <definedName name="et_DIFFERENTIATION_TARIFF_NOT_HEAT_TER">et_union_hor!$187:$189</definedName>
    <definedName name="et_DIFFERENTIATION_TARIFF_NOT_HEAT_VTAR">et_union_hor!$176:$180</definedName>
    <definedName name="et_DIFFERENTIATION_TARIFF_NTAR">et_union_hor!$160:$163</definedName>
    <definedName name="et_DIFFERENTIATION_TARIFF_TER">et_union_hor!$165:$167</definedName>
    <definedName name="et_DIFFERENTIATION_TARIFF_VTAR">et_union_hor!$154:$158</definedName>
    <definedName name="et_DIFFERENTIATION_TKO_CLASS_TKO">et_union_hor!$202:$202</definedName>
    <definedName name="et_DIFFERENTIATION_TKO_COLOR">et_union_hor!$H$202:$AI$207</definedName>
    <definedName name="et_DIFFERENTIATION_TKO_NOT_COLOR">et_union_hor!$H$209:$AI$214</definedName>
    <definedName name="et_DIFFERENTIATION_TKO_NTAR">et_union_hor!$202:$206</definedName>
    <definedName name="et_DIFFERENTIATION_TKO_TER">et_union_hor!$202:$204</definedName>
    <definedName name="et_DIFFERENTIATION_TKO_TO">et_union_hor!$202:$205</definedName>
    <definedName name="et_DIFFERENTIATION_TKO_TYPE_TKO">et_union_hor!$202:$203</definedName>
    <definedName name="et_DIFFERENTIATION_TKO_VTAR">et_union_hor!$202:$207</definedName>
    <definedName name="et_DIFFERENTIATION_VD">et_union_hor!$23:$25</definedName>
    <definedName name="et_ED">et_union_hor!$64:$64</definedName>
    <definedName name="et_HEAT_TARIFF_A_CS">'ТС. Т-ТЭ | &gt;=25МВт'!$4:$13</definedName>
    <definedName name="et_HEAT_TARIFF_A_GC">'ТС. Т-ТЭ | &gt;=25МВт'!$7:$10</definedName>
    <definedName name="et_HEAT_TARIFF_A_IST_TE">'ТС. Т-ТЭ | &gt;=25МВт'!$5:$12</definedName>
    <definedName name="et_HEAT_TARIFF_A_NTAR">'ТС. Т-ТЭ | &gt;=25МВт'!$2:$15</definedName>
    <definedName name="et_HEAT_TARIFF_A_PERIOD_COLOR">'ТС. Т-ТЭ | &gt;=25МВт'!$AD$8:$AK$9</definedName>
    <definedName name="et_HEAT_TARIFF_A_PERIOD_NOT_COLOR">'ТС. Т-ТЭ | &gt;=25МВт'!$AD$17:$AK$18</definedName>
    <definedName name="et_HEAT_TARIFF_A_SCHEME">'ТС. Т-ТЭ | &gt;=25МВт'!$6:$11</definedName>
    <definedName name="et_HEAT_TARIFF_A_TER">'ТС. Т-ТЭ | &gt;=25МВт'!$3:$14</definedName>
    <definedName name="et_HEAT_TARIFF_A_TN">'ТС. Т-ТЭ | &gt;=25МВт'!$8:$9</definedName>
    <definedName name="et_HEAT_TARIFF_B_CS">'ТС. Т-ТЭ | ТСО'!$4:$13</definedName>
    <definedName name="et_HEAT_TARIFF_B_GC">'ТС. Т-ТЭ | ТСО'!$7:$10</definedName>
    <definedName name="et_HEAT_TARIFF_B_IST_TE">'ТС. Т-ТЭ | ТСО'!$5:$12</definedName>
    <definedName name="et_HEAT_TARIFF_B_NTAR">'ТС. Т-ТЭ | ТСО'!$2:$15</definedName>
    <definedName name="et_HEAT_TARIFF_B_PERIOD_COLOR">'ТС. Т-ТЭ | ТСО'!$AD$8:$AK$9</definedName>
    <definedName name="et_HEAT_TARIFF_B_PERIOD_NOT_COLOR">'ТС. Т-ТЭ | ТСО'!$AD$17:$AK$18</definedName>
    <definedName name="et_HEAT_TARIFF_B_SCHEME">'ТС. Т-ТЭ | ТСО'!$6:$11</definedName>
    <definedName name="et_HEAT_TARIFF_B_TER">'ТС. Т-ТЭ | ТСО'!$3:$14</definedName>
    <definedName name="et_HEAT_TARIFF_B_TN">'ТС. Т-ТЭ | ТСО'!$8:$9</definedName>
    <definedName name="et_HEAT_TARIFF_C_CS">'ТС. Т-ТН'!$4:$13</definedName>
    <definedName name="et_HEAT_TARIFF_C_GC">'ТС. Т-ТН'!$7:$10</definedName>
    <definedName name="et_HEAT_TARIFF_C_IST_TE">'ТС. Т-ТН'!$5:$12</definedName>
    <definedName name="et_HEAT_TARIFF_C_NTAR">'ТС. Т-ТН'!$2:$15</definedName>
    <definedName name="et_HEAT_TARIFF_C_PERIOD_COLOR">'ТС. Т-ТН'!$AD$8:$AK$9</definedName>
    <definedName name="et_HEAT_TARIFF_C_PERIOD_NOT_COLOR">'ТС. Т-ТН'!$AD$17:$AK$18</definedName>
    <definedName name="et_HEAT_TARIFF_C_SCHEME">'ТС. Т-ТН'!$6:$11</definedName>
    <definedName name="et_HEAT_TARIFF_C_TER">'ТС. Т-ТН'!$3:$14</definedName>
    <definedName name="et_HEAT_TARIFF_C_TN">'ТС. Т-ТН'!$8:$9</definedName>
    <definedName name="et_HEAT_TARIFF_D_CONS">'ТС. Т-гор.вода'!$9:$10</definedName>
    <definedName name="et_HEAT_TARIFF_D_CS">'ТС. Т-гор.вода'!$4:$15</definedName>
    <definedName name="et_HEAT_TARIFF_D_GC">'ТС. Т-гор.вода'!$7:$12</definedName>
    <definedName name="et_HEAT_TARIFF_D_IST_TE">'ТС. Т-гор.вода'!$5:$14</definedName>
    <definedName name="et_HEAT_TARIFF_D_NTAR">'ТС. Т-гор.вода'!$2:$17</definedName>
    <definedName name="et_HEAT_TARIFF_D_PERIOD_COLOR">'ТС. Т-гор.вода'!$AG$8:$AO$10</definedName>
    <definedName name="et_HEAT_TARIFF_D_PERIOD_NOT_COLOR">'ТС. Т-гор.вода'!$AG$19:$AO$22</definedName>
    <definedName name="et_HEAT_TARIFF_D_SCHEME">'ТС. Т-гор.вода'!$6:$13</definedName>
    <definedName name="et_HEAT_TARIFF_D_TER">'ТС. Т-гор.вода'!$3:$16</definedName>
    <definedName name="et_HEAT_TARIFF_D_TN">'ТС. Т-гор.вода'!$8:$11</definedName>
    <definedName name="et_HEAT_TARIFF_E1_CS">'ТС. Т-передача ТЭ'!$4:$13</definedName>
    <definedName name="et_HEAT_TARIFF_E1_GC">'ТС. Т-передача ТЭ'!$7:$10</definedName>
    <definedName name="et_HEAT_TARIFF_E1_IST_TE">'ТС. Т-передача ТЭ'!$5:$12</definedName>
    <definedName name="et_HEAT_TARIFF_E1_NTAR">'ТС. Т-передача ТЭ'!$2:$15</definedName>
    <definedName name="et_HEAT_TARIFF_E1_PERIOD_COLOR">'ТС. Т-передача ТЭ'!$AD$8:$AK$9</definedName>
    <definedName name="et_HEAT_TARIFF_E1_PERIOD_NOT_COLOR">'ТС. Т-передача ТЭ'!$AD$17:$AK$18</definedName>
    <definedName name="et_HEAT_TARIFF_E1_SCHEME">'ТС. Т-передача ТЭ'!$6:$11</definedName>
    <definedName name="et_HEAT_TARIFF_E1_TER">'ТС. Т-передача ТЭ'!$3:$14</definedName>
    <definedName name="et_HEAT_TARIFF_E1_TN">'ТС. Т-передача ТЭ'!$8:$9</definedName>
    <definedName name="et_HEAT_TARIFF_E2_CS">'ТС. Т-передача ТН'!$4:$13</definedName>
    <definedName name="et_HEAT_TARIFF_E2_GC">'ТС. Т-передача ТН'!$7:$10</definedName>
    <definedName name="et_HEAT_TARIFF_E2_IST_TE">'ТС. Т-передача ТН'!$5:$12</definedName>
    <definedName name="et_HEAT_TARIFF_E2_NTAR">'ТС. Т-передача ТН'!$2:$15</definedName>
    <definedName name="et_HEAT_TARIFF_E2_PERIOD_COLOR">'ТС. Т-передача ТН'!$AD$8:$AK$9</definedName>
    <definedName name="et_HEAT_TARIFF_E2_PERIOD_NOT_COLOR">'ТС. Т-передача ТН'!$AD$17:$AK$18</definedName>
    <definedName name="et_HEAT_TARIFF_E2_SCHEME">'ТС. Т-передача ТН'!$6:$11</definedName>
    <definedName name="et_HEAT_TARIFF_E2_TER">'ТС. Т-передача ТН'!$3:$14</definedName>
    <definedName name="et_HEAT_TARIFF_E2_TN">'ТС. Т-передача ТН'!$8:$9</definedName>
    <definedName name="et_HEAT_TARIFF_F_CS">'ТС. Резерв мощности'!$4:$13</definedName>
    <definedName name="et_HEAT_TARIFF_F_GC">'ТС. Резерв мощности'!$7:$10</definedName>
    <definedName name="et_HEAT_TARIFF_F_IST_TE">'ТС. Резерв мощности'!$5:$12</definedName>
    <definedName name="et_HEAT_TARIFF_F_NTAR">'ТС. Резерв мощности'!$2:$15</definedName>
    <definedName name="et_HEAT_TARIFF_F_PERIOD_COLOR">'ТС. Резерв мощности'!$AD$8:$AK$9</definedName>
    <definedName name="et_HEAT_TARIFF_F_PERIOD_NOT_COLOR">'ТС. Резерв мощности'!$AD$17:$AK$18</definedName>
    <definedName name="et_HEAT_TARIFF_F_SCHEME">'ТС. Резерв мощности'!$6:$11</definedName>
    <definedName name="et_HEAT_TARIFF_F_TER">'ТС. Резерв мощности'!$3:$14</definedName>
    <definedName name="et_HEAT_TARIFF_F_TN">'ТС. Резерв мощности'!$8:$9</definedName>
    <definedName name="et_HEAT_TARIFF_G_CS">'ТС. Т-подкл'!$4:$15</definedName>
    <definedName name="et_HEAT_TARIFF_G_DIAMETERS">'ТС. Т-подкл'!$8:$8</definedName>
    <definedName name="et_HEAT_TARIFF_G_GC">'ТС. Т-подкл'!$7:$12</definedName>
    <definedName name="et_HEAT_TARIFF_G_IST_TE">'ТС. Т-подкл'!$5:$14</definedName>
    <definedName name="et_HEAT_TARIFF_G_LOAD">'ТС. Т-подкл'!$8:$10</definedName>
    <definedName name="et_HEAT_TARIFF_G_NETS">'ТС. Т-подкл'!$8:$9</definedName>
    <definedName name="et_HEAT_TARIFF_G_NTAR">'ТС. Т-подкл'!$2:$17</definedName>
    <definedName name="et_HEAT_TARIFF_G_PERIOD_COLOR">'ТС. Т-подкл'!$AN$8:$AS$8</definedName>
    <definedName name="et_HEAT_TARIFF_G_PERIOD_NOT_COLOR">'ТС. Т-подкл'!$AN$19:$AS$19</definedName>
    <definedName name="et_HEAT_TARIFF_G_SCHEME">'ТС. Т-подкл'!$6:$13</definedName>
    <definedName name="et_HEAT_TARIFF_G_TER">'ТС. Т-подкл'!$3:$16</definedName>
    <definedName name="et_HEAT_TARIFF_G_TN">'ТС. Т-подкл'!$8:$11</definedName>
    <definedName name="et_HEAT_TARIFF_H_CS">'ТС. Т-подкл(инд)'!$4:$12</definedName>
    <definedName name="et_HEAT_TARIFF_H_DIAMETERS">'ТС. Т-подкл(инд)'!$8:$8</definedName>
    <definedName name="et_HEAT_TARIFF_H_GC">'ТС. Т-подкл(инд)'!$7:$9</definedName>
    <definedName name="et_HEAT_TARIFF_H_IST_TE">'ТС. Т-подкл(инд)'!$5:$11</definedName>
    <definedName name="et_HEAT_TARIFF_H_LOAD">'ТС. Т-подкл(инд)'!$8:$8</definedName>
    <definedName name="et_HEAT_TARIFF_H_NETS">'ТС. Т-подкл(инд)'!$8:$8</definedName>
    <definedName name="et_HEAT_TARIFF_H_NTAR">'ТС. Т-подкл(инд)'!$2:$14</definedName>
    <definedName name="et_HEAT_TARIFF_H_PERIOD_COLOR">'ТС. Т-подкл(инд)'!$AD$8:$AI$8</definedName>
    <definedName name="et_HEAT_TARIFF_H_PERIOD_NOT_COLOR">'ТС. Т-подкл(инд)'!$AD$16:$AI$16</definedName>
    <definedName name="et_HEAT_TARIFF_H_SCHEME">'ТС. Т-подкл(инд)'!$6:$10</definedName>
    <definedName name="et_HEAT_TARIFF_H_TER">'ТС. Т-подкл(инд)'!$3:$13</definedName>
    <definedName name="et_HEAT_TARIFF_H_TN">'ТС. Т-подкл(инд)'!$8:$8</definedName>
    <definedName name="et_HEAT_TARIFF_I_1_CS">'ТС. Т-ТЭ | индикат'!$4:$13</definedName>
    <definedName name="et_HEAT_TARIFF_I_1_GC">'ТС. Т-ТЭ | индикат'!$7:$10</definedName>
    <definedName name="et_HEAT_TARIFF_I_1_IST_TE">'ТС. Т-ТЭ | индикат'!$5:$12</definedName>
    <definedName name="et_HEAT_TARIFF_I_1_NTAR">'ТС. Т-ТЭ | индикат'!$2:$15</definedName>
    <definedName name="et_HEAT_TARIFF_I_1_PERIOD_COLOR">'ТС. Т-ТЭ | индикат'!$AD$8:$AK$9</definedName>
    <definedName name="et_HEAT_TARIFF_I_1_PERIOD_NOT_COLOR">'ТС. Т-ТЭ | индикат'!$AD$17:$AK$18</definedName>
    <definedName name="et_HEAT_TARIFF_I_1_SCHEME">'ТС. Т-ТЭ | индикат'!$6:$11</definedName>
    <definedName name="et_HEAT_TARIFF_I_1_TER">'ТС. Т-ТЭ | индикат'!$3:$14</definedName>
    <definedName name="et_HEAT_TARIFF_I_1_TN">'ТС. Т-ТЭ | индикат'!$8:$9</definedName>
    <definedName name="et_HEAT_TARIFF_I_CS">'ТС. Т-ТЭ | предел'!$4:$13</definedName>
    <definedName name="et_HEAT_TARIFF_I_GC">'ТС. Т-ТЭ | предел'!$7:$10</definedName>
    <definedName name="et_HEAT_TARIFF_I_IST_TE">'ТС. Т-ТЭ | предел'!$5:$12</definedName>
    <definedName name="et_HEAT_TARIFF_I_NTAR">'ТС. Т-ТЭ | предел'!$2:$15</definedName>
    <definedName name="et_HEAT_TARIFF_I_PERIOD_COLOR">'ТС. Т-ТЭ | предел'!$AD$8:$AK$9</definedName>
    <definedName name="et_HEAT_TARIFF_I_PERIOD_NOT_COLOR">'ТС. Т-ТЭ | предел'!$AD$17:$AK$18</definedName>
    <definedName name="et_HEAT_TARIFF_I_SCHEME">'ТС. Т-ТЭ | предел'!$6:$11</definedName>
    <definedName name="et_HEAT_TARIFF_I_TER">'ТС. Т-ТЭ | предел'!$3:$14</definedName>
    <definedName name="et_HEAT_TARIFF_I_TN">'ТС. Т-ТЭ | предел'!$8:$9</definedName>
    <definedName name="et_hor_B_FHD_1">'Показатели ФХД'!$2:$7</definedName>
    <definedName name="et_hor_B_FHD_2">'Показатели ФХД'!$9:$9</definedName>
    <definedName name="et_hor_B_FHD_3">'Показатели ФХД'!$11:$11</definedName>
    <definedName name="et_hor_B_FHD_4">'Показатели ФХД'!$13:$13</definedName>
    <definedName name="et_hor_B_FHD_5">'Показатели ФХД'!$15:$15</definedName>
    <definedName name="et_hor_B_FHD_6">'Показатели ФХД'!$17:$17</definedName>
    <definedName name="et_hor_B_FHD_TKO_2">'ТКО. Показатели ФХД'!$2:$2</definedName>
    <definedName name="et_hor_B_FHD_TKO_TRANS_2">'ТКО. Транс. Показатели ФХД'!$2:$2</definedName>
    <definedName name="et_hor_B_OTEP_2">'Показатели ОТЭП'!$2:$2</definedName>
    <definedName name="et_hor_Q_LIMIT_1">Ограничения!$3:$4</definedName>
    <definedName name="et_hor_Q_LIMIT_2">Ограничения!$6:$7</definedName>
    <definedName name="et_hor_Q_LIMIT_3">Ограничения!$9:$11</definedName>
    <definedName name="et_hor_Q_LIMIT_4">Ограничения!$13:$14</definedName>
    <definedName name="et_hor_Q_TP_1">ТП!$2:$2</definedName>
    <definedName name="et_HOTVSNA_TARIFF_A_HOTVSNA_CS">'ГВС. Т-гор.вода'!$4:$11</definedName>
    <definedName name="et_HOTVSNA_TARIFF_A_HOTVSNA_DATA_DIFF">'ГВС. Т-гор.вода'!$7:$8</definedName>
    <definedName name="et_HOTVSNA_TARIFF_A_HOTVSNA_FLAG_DIFF">'ГВС. Т-гор.вода'!$5:$10</definedName>
    <definedName name="et_HOTVSNA_TARIFF_A_HOTVSNA_GC">'ГВС. Т-гор.вода'!$6:$9</definedName>
    <definedName name="et_HOTVSNA_TARIFF_A_HOTVSNA_NTAR">'ГВС. Т-гор.вода'!$2:$13</definedName>
    <definedName name="et_HOTVSNA_TARIFF_A_HOTVSNA_PERIOD_COLOR">'ГВС. Т-гор.вода'!$AG$7:$AQ$8</definedName>
    <definedName name="et_HOTVSNA_TARIFF_A_HOTVSNA_PERIOD_NOT_COLOR">'ГВС. Т-гор.вода'!$AG$15:$AQ$16</definedName>
    <definedName name="et_HOTVSNA_TARIFF_A_HOTVSNA_TER">'ГВС. Т-гор.вода'!$3:$12</definedName>
    <definedName name="et_HOTVSNA_TARIFF_A_HOTVSNA_TN">'ГВС. Т-гор.вода'!$7:$8</definedName>
    <definedName name="et_HOTVSNA_TARIFF_B_HOTVSNA_CS">'ГВС. Т-транс'!$4:$11</definedName>
    <definedName name="et_HOTVSNA_TARIFF_B_HOTVSNA_DATA_DIFF">'ГВС. Т-транс'!$7:$8</definedName>
    <definedName name="et_HOTVSNA_TARIFF_B_HOTVSNA_FLAG_DIFF">'ГВС. Т-транс'!$5:$10</definedName>
    <definedName name="et_HOTVSNA_TARIFF_B_HOTVSNA_GC">'ГВС. Т-транс'!$6:$9</definedName>
    <definedName name="et_HOTVSNA_TARIFF_B_HOTVSNA_NTAR">'ГВС. Т-транс'!$2:$13</definedName>
    <definedName name="et_HOTVSNA_TARIFF_B_HOTVSNA_PERIOD_COLOR">'ГВС. Т-транс'!$AG$7:$AQ$8</definedName>
    <definedName name="et_HOTVSNA_TARIFF_B_HOTVSNA_PERIOD_NOT_COLOR">'ГВС. Т-транс'!$AG$15:$AQ$16</definedName>
    <definedName name="et_HOTVSNA_TARIFF_B_HOTVSNA_TER">'ГВС. Т-транс'!$3:$12</definedName>
    <definedName name="et_HOTVSNA_TARIFF_B_HOTVSNA_TN">'ГВС. Т-транс'!$7:$8</definedName>
    <definedName name="et_HOTVSNA_TARIFF_C_HOTVSNA_CS">'ГВС. Т-подкл'!$4:$16</definedName>
    <definedName name="et_HOTVSNA_TARIFF_C_HOTVSNA_DATA_DIFF">'ГВС. Т-подкл'!$8:$12</definedName>
    <definedName name="et_HOTVSNA_TARIFF_C_HOTVSNA_DIAMETERS">'ГВС. Т-подкл'!$8:$10</definedName>
    <definedName name="et_HOTVSNA_TARIFF_C_HOTVSNA_FLAG_DIFF">'ГВС. Т-подкл'!$6:$14</definedName>
    <definedName name="et_HOTVSNA_TARIFF_C_HOTVSNA_GC">'ГВС. Т-подкл'!$7:$13</definedName>
    <definedName name="et_HOTVSNA_TARIFF_C_HOTVSNA_LEN">'ГВС. Т-подкл'!$8:$9</definedName>
    <definedName name="et_HOTVSNA_TARIFF_C_HOTVSNA_LOAD">'ГВС. Т-подкл'!$8:$11</definedName>
    <definedName name="et_HOTVSNA_TARIFF_C_HOTVSNA_NETS">'ГВС. Т-подкл'!$8:$8</definedName>
    <definedName name="et_HOTVSNA_TARIFF_C_HOTVSNA_NTAR">'ГВС. Т-подкл'!$2:$18</definedName>
    <definedName name="et_HOTVSNA_TARIFF_C_HOTVSNA_PERIOD_COLOR">'ГВС. Т-подкл'!$AT$8:$BA$8</definedName>
    <definedName name="et_HOTVSNA_TARIFF_C_HOTVSNA_PERIOD_NOT_COLOR">'ГВС. Т-подкл'!$AT$20:$BA$20</definedName>
    <definedName name="et_HOTVSNA_TARIFF_C_HOTVSNA_TER">'ГВС. Т-подкл'!$3:$17</definedName>
    <definedName name="et_IP_DETAILED">et_union_hor!$81:$87</definedName>
    <definedName name="et_IP_DETAILED_EVENT">et_union_hor!$101:$105</definedName>
    <definedName name="et_IP_DETAILED_IST_FIN">et_union_hor!$97:$97</definedName>
    <definedName name="et_IP_DETAILED_OBJECT">et_union_hor!$91:$93</definedName>
    <definedName name="et_IP_DETAILED_YEAR">et_union_hor!$82:$87</definedName>
    <definedName name="et_IP_MAIN">et_union_hor!$72:$73</definedName>
    <definedName name="et_IP_MAIN_PROPERTY">et_union_hor!$77:$77</definedName>
    <definedName name="et_IP_QRE">et_union_hor!$109:$111</definedName>
    <definedName name="et_IP_QRE_CLAIM">et_union_hor!$110:$110</definedName>
    <definedName name="et_List02">et_union_hor!$154:$158</definedName>
    <definedName name="et_List02_1_wd">et_union_hor!$194:$197</definedName>
    <definedName name="et_List02_2_wd">et_union_hor!$194:$196</definedName>
    <definedName name="et_List02_3_wd">et_union_hor!$194:$195</definedName>
    <definedName name="et_List02_4_wd">et_union_hor!$194:$194</definedName>
    <definedName name="et_List02_changeColor_1">et_union_hor!$J$154:$J$157</definedName>
    <definedName name="et_List02_changeColor_1_wd">et_union_hor!$J$194:$J$197</definedName>
    <definedName name="et_List02_changeColor_2">et_union_hor!$N$154:$N$156</definedName>
    <definedName name="et_List02_changeColor_2_wd">et_union_hor!$N$194:$N$196</definedName>
    <definedName name="et_List02_changeColor_3">et_union_hor!$R$154:$R$155</definedName>
    <definedName name="et_List02_changeColor_3_wd">et_union_hor!$R$194:$R$195</definedName>
    <definedName name="et_List02_changeColor_4">et_union_hor!$V$154</definedName>
    <definedName name="et_List02_changeColor_4_wd">et_union_hor!$V$194</definedName>
    <definedName name="et_List02_wd">et_union_hor!$194:$198</definedName>
    <definedName name="et_OFFER_p1">Предложение!$8:$8</definedName>
    <definedName name="et_OFFER_p1_0">Предложение!$2:$3</definedName>
    <definedName name="et_OFFER_p2">Предложение!$10:$10</definedName>
    <definedName name="et_OFFER_p2_0">Предложение!$5:$6</definedName>
    <definedName name="et_ORG_INFO_1">et_union_hor!$39:$39</definedName>
    <definedName name="et_ORG_INFO_2">et_union_hor!$43:$43</definedName>
    <definedName name="et_ORG_INFO_3">et_union_hor!$47:$51</definedName>
    <definedName name="et_ORG_TERRITORY_MO">et_union_hor!$56:$56</definedName>
    <definedName name="et_ORG_TERRITORY_MO_FLAG_INTERNET">et_union_hor!$J$56</definedName>
    <definedName name="et_ORG_TERRITORY_MO_LINK">et_union_hor!$K$56</definedName>
    <definedName name="et_ORG_VD">et_union_hor!$60:$60</definedName>
    <definedName name="et_ORG_VD_COLDVSNA">et_union_hor!$X$60:$Z$60</definedName>
    <definedName name="et_ORG_VD_FIRST_SYSTEM">et_union_hor!$E$60</definedName>
    <definedName name="et_ORG_VD_HEAT">et_union_hor!$H$60:$R$60</definedName>
    <definedName name="et_ORG_VD_HOTVSNA">et_union_hor!$AB$60:$AC$60</definedName>
    <definedName name="et_ORG_VD_TKO_ACTIVITY">'Виды объектов'!$2:$3</definedName>
    <definedName name="et_ORG_VD_TKO_TYPE_OBJECT">'Виды объектов'!$2:$2</definedName>
    <definedName name="et_ORG_VD_VOTV">et_union_hor!$T$60:$V$60</definedName>
    <definedName name="et_P_PROCEDURE_TC_1">'Порядок ТП'!$2:$2</definedName>
    <definedName name="et_P_PROCEDURE_TC_2">'Порядок ТП'!$4:$4</definedName>
    <definedName name="et_P_PROCEDURE_TC_3">'Порядок ТП'!$6:$6</definedName>
    <definedName name="et_P_PROCEDURE_TC_4">'Порядок ТП'!$8:$8</definedName>
    <definedName name="et_P_PROCEDURE_TC_5">'Порядок ТП'!$10:$10</definedName>
    <definedName name="et_P_T_TERMS">et_union_hor!$68:$68</definedName>
    <definedName name="et_Q_TP_DIFFERENTIATION">ТП!$G:$G</definedName>
    <definedName name="et_QRE">et_union_hor!$109:$111</definedName>
    <definedName name="et_QRE_CLAIM">et_union_hor!$110:$110</definedName>
    <definedName name="et_R_B_Purch">'Сведения о закупках'!$2:$2</definedName>
    <definedName name="et_ROIV_CASE_case">'Дела об установлении тарифов'!$2:$2</definedName>
    <definedName name="et_ROIV_CASE_PUC_case">'Дела об утверждении ПУЦ'!$2:$2</definedName>
    <definedName name="et_ROIV_INFO_phone">'Орган регулирования'!$2:$2</definedName>
    <definedName name="et_ROIV_ORG_org">'Перечень организаций'!$2:$2</definedName>
    <definedName name="et_ROIV_OTV_DL">'Привлечение к ответственности'!$5:$5</definedName>
    <definedName name="et_ROIV_OTV_org">'Привлечение к ответственности'!$2:$3</definedName>
    <definedName name="et_TERMS">et_union_hor!$68:$68</definedName>
    <definedName name="et_TERRITORY_AREA">et_union_hor!$13:$15</definedName>
    <definedName name="et_TERRITORY_MO">et_union_hor!$19:$19</definedName>
    <definedName name="et_ver_B_FHD_DIFFERENTIATION">'Показатели ФХД'!$H:$H</definedName>
    <definedName name="et_ver_B_FHD_TKO_DIFFERENTIATION">'ТКО. Показатели ФХД'!$H:$H</definedName>
    <definedName name="et_ver_B_FHD_TKO_TRANS_DIFFERENTIATION">'ТКО. Транс. Показатели ФХД'!$H:$H</definedName>
    <definedName name="et_ver_B_KNE_DIFFERENTIATION">'Показатели КНЭ'!$G:$H</definedName>
    <definedName name="et_ver_B_OTEP_DIFFERENTIATION">'Показатели ОТЭП'!$L:$L</definedName>
    <definedName name="et_ver_COLDVSNA_TARIFF_A_COLDVSNA">'ХВС. Т-пит'!$V:$AB</definedName>
    <definedName name="et_ver_COLDVSNA_TARIFF_B_COLDVSNA">'ХВС. Т-тех'!$V:$AB</definedName>
    <definedName name="et_ver_COLDVSNA_TARIFF_C_COLDVSNA">'ХВС. Т-транс'!$V:$AB</definedName>
    <definedName name="et_ver_COLDVSNA_TARIFF_D_COLDVSNA">'ХВС. Т-подвоз'!$V:$AB</definedName>
    <definedName name="et_ver_COLDVSNA_TARIFF_E_COLDVSNA">'ХВС. Т-подкл'!$V:$AC</definedName>
    <definedName name="et_ver_HEAT_TARIFF_A">'ТС. Т-ТЭ | &gt;=25МВт'!$V:$AC</definedName>
    <definedName name="et_ver_HEAT_TARIFF_B">'ТС. Т-ТЭ | ТСО'!$V:$AC</definedName>
    <definedName name="et_ver_HEAT_TARIFF_C">'ТС. Т-ТН'!$V:$AC</definedName>
    <definedName name="et_ver_HEAT_TARIFF_D">'ТС. Т-гор.вода'!$X:$AF</definedName>
    <definedName name="et_ver_HEAT_TARIFF_E1">'ТС. Т-передача ТЭ'!$V:$AC</definedName>
    <definedName name="et_ver_HEAT_TARIFF_E2">'ТС. Т-передача ТН'!$V:$AC</definedName>
    <definedName name="et_ver_HEAT_TARIFF_F">'ТС. Резерв мощности'!$V:$AC</definedName>
    <definedName name="et_ver_HEAT_TARIFF_G">'ТС. Т-подкл'!$V:$AA</definedName>
    <definedName name="et_ver_HEAT_TARIFF_H">'ТС. Т-подкл(инд)'!$V:$AA</definedName>
    <definedName name="et_ver_HEAT_TARIFF_I">'ТС. Т-ТЭ | предел'!$V:$AC</definedName>
    <definedName name="et_ver_HEAT_TARIFF_I_1">'ТС. Т-ТЭ | индикат'!$V:$AC</definedName>
    <definedName name="et_ver_HOTVSNA_TARIFF_A_HOTVSNA">'ГВС. Т-гор.вода'!$V:$AF</definedName>
    <definedName name="et_ver_HOTVSNA_TARIFF_B_HOTVSNA">'ГВС. Т-транс'!$V:$AF</definedName>
    <definedName name="et_ver_HOTVSNA_TARIFF_C_HOTVSNA">'ГВС. Т-подкл'!$V:$AC</definedName>
    <definedName name="et_ver_IP_FIN_PLAN">'ИП. Финансовый план'!$H:$J</definedName>
    <definedName name="et_ver_IP_FIN_PLAN_YEAR">'ИП. Финансовый план'!$I:$I</definedName>
    <definedName name="et_ver_Q_LIMIT_DIFFERENTIATION">Ограничения!$G:$H</definedName>
    <definedName name="et_ver_Q_PH_DIFFERENTIATION">'Потребительские характеристики'!$G:$H</definedName>
    <definedName name="et_ver_Q_TP_DIFFERENTIATION">ТП!$G:$G</definedName>
    <definedName name="et_ver_VOTV_TARIFF_A_VOTV">'ВО. Т-во'!$V:$AB</definedName>
    <definedName name="et_ver_VOTV_TARIFF_B_VOTV">'ВО. Т-транс'!$V:$AB</definedName>
    <definedName name="et_ver_VOTV_TARIFF_C_VOTV">'ВО. Т-подкл'!$V:$AC</definedName>
    <definedName name="et_VOTV_TARIFF_A_VOTV_CS">'ВО. Т-во'!$4:$11</definedName>
    <definedName name="et_VOTV_TARIFF_A_VOTV_DATA_DIFF">'ВО. Т-во'!$7:$8</definedName>
    <definedName name="et_VOTV_TARIFF_A_VOTV_FLAG_DIFF">'ВО. Т-во'!$5:$10</definedName>
    <definedName name="et_VOTV_TARIFF_A_VOTV_GC">'ВО. Т-во'!$6:$9</definedName>
    <definedName name="et_VOTV_TARIFF_A_VOTV_NTAR">'ВО. Т-во'!$2:$13</definedName>
    <definedName name="et_VOTV_TARIFF_A_VOTV_PERIOD_COLOR">'ВО. Т-во'!$AC$7:$AI$8</definedName>
    <definedName name="et_VOTV_TARIFF_A_VOTV_PERIOD_NOT_COLOR">'ВО. Т-во'!$AC$15:$AI$16</definedName>
    <definedName name="et_VOTV_TARIFF_A_VOTV_TER">'ВО. Т-во'!$3:$12</definedName>
    <definedName name="et_VOTV_TARIFF_A_VOTV_TN">'ВО. Т-во'!$7:$8</definedName>
    <definedName name="et_VOTV_TARIFF_B_VOTV_CS">'ВО. Т-транс'!$4:$11</definedName>
    <definedName name="et_VOTV_TARIFF_B_VOTV_DATA_DIFF">'ВО. Т-транс'!$7:$8</definedName>
    <definedName name="et_VOTV_TARIFF_B_VOTV_FLAG_DIFF">'ВО. Т-транс'!$5:$10</definedName>
    <definedName name="et_VOTV_TARIFF_B_VOTV_GC">'ВО. Т-транс'!$6:$9</definedName>
    <definedName name="et_VOTV_TARIFF_B_VOTV_NTAR">'ВО. Т-транс'!$2:$13</definedName>
    <definedName name="et_VOTV_TARIFF_B_VOTV_PERIOD_COLOR">'ВО. Т-транс'!$AC$7:$AI$8</definedName>
    <definedName name="et_VOTV_TARIFF_B_VOTV_PERIOD_NOT_COLOR">'ВО. Т-транс'!$AC$15:$AI$16</definedName>
    <definedName name="et_VOTV_TARIFF_B_VOTV_TER">'ВО. Т-транс'!$3:$12</definedName>
    <definedName name="et_VOTV_TARIFF_B_VOTV_TN">'ВО. Т-транс'!$7:$8</definedName>
    <definedName name="et_VOTV_TARIFF_C_VOTV_CS">'ВО. Т-подкл'!$4:$16</definedName>
    <definedName name="et_VOTV_TARIFF_C_VOTV_DATA_DIFF">'ВО. Т-подкл'!$8:$12</definedName>
    <definedName name="et_VOTV_TARIFF_C_VOTV_DIAMETERS">'ВО. Т-подкл'!$8:$10</definedName>
    <definedName name="et_VOTV_TARIFF_C_VOTV_FLAG_DIFF">'ВО. Т-подкл'!$6:$14</definedName>
    <definedName name="et_VOTV_TARIFF_C_VOTV_GC">'ВО. Т-подкл'!$7:$13</definedName>
    <definedName name="et_VOTV_TARIFF_C_VOTV_LEN">'ВО. Т-подкл'!$8:$9</definedName>
    <definedName name="et_VOTV_TARIFF_C_VOTV_LOAD">'ВО. Т-подкл'!$8:$11</definedName>
    <definedName name="et_VOTV_TARIFF_C_VOTV_NETS">'ВО. Т-подкл'!$8:$8</definedName>
    <definedName name="et_VOTV_TARIFF_C_VOTV_NTAR">'ВО. Т-подкл'!$2:$18</definedName>
    <definedName name="et_VOTV_TARIFF_C_VOTV_PERIOD_COLOR">'ВО. Т-подкл'!$AT$8:$BA$8</definedName>
    <definedName name="et_VOTV_TARIFF_C_VOTV_PERIOD_NOT_COLOR">'ВО. Т-подкл'!$AT$20:$BA$20</definedName>
    <definedName name="et_VOTV_TARIFF_C_VOTV_TER">'ВО. Т-подкл'!$3:$17</definedName>
    <definedName name="f_quart">Титульный!$F$15</definedName>
    <definedName name="f_year">Титульный!$F$14</definedName>
    <definedName name="FHD_NAME_FORM">DATA_FORMS!$C$6</definedName>
    <definedName name="FHD_NOTE_P_1">DATA_NPA!$N$18</definedName>
    <definedName name="FHD_NOTE_P_10">DATA_NPA!$N$27</definedName>
    <definedName name="FHD_NOTE_P_11">DATA_NPA!$N$28</definedName>
    <definedName name="FHD_NOTE_P_12">DATA_NPA!$N$29</definedName>
    <definedName name="FHD_NOTE_P_13">DATA_NPA!$N$30</definedName>
    <definedName name="FHD_NOTE_P_14">DATA_NPA!$N$31</definedName>
    <definedName name="FHD_NOTE_P_15">DATA_NPA!$N$32</definedName>
    <definedName name="FHD_NOTE_P_16">DATA_NPA!$N$33</definedName>
    <definedName name="FHD_NOTE_P_17">DATA_NPA!$N$34</definedName>
    <definedName name="FHD_NOTE_P_18">DATA_NPA!$N$35</definedName>
    <definedName name="FHD_NOTE_P_19">DATA_NPA!$N$36</definedName>
    <definedName name="FHD_NOTE_P_2">DATA_NPA!$N$19</definedName>
    <definedName name="FHD_NOTE_P_20">DATA_NPA!$N$37</definedName>
    <definedName name="FHD_NOTE_P_21">DATA_NPA!$N$38</definedName>
    <definedName name="FHD_NOTE_P_22">DATA_NPA!$N$39</definedName>
    <definedName name="FHD_NOTE_P_23">DATA_NPA!$N$40</definedName>
    <definedName name="FHD_NOTE_P_24">DATA_NPA!$N$41</definedName>
    <definedName name="FHD_NOTE_P_25">DATA_NPA!$N$42</definedName>
    <definedName name="FHD_NOTE_P_26">DATA_NPA!$N$43</definedName>
    <definedName name="FHD_NOTE_P_27">DATA_NPA!$N$44</definedName>
    <definedName name="FHD_NOTE_P_28">DATA_NPA!$N$45</definedName>
    <definedName name="FHD_NOTE_P_29">DATA_NPA!$N$46</definedName>
    <definedName name="FHD_NOTE_P_3">DATA_NPA!$N$20</definedName>
    <definedName name="FHD_NOTE_P_30">DATA_NPA!$N$47</definedName>
    <definedName name="FHD_NOTE_P_31">DATA_NPA!$N$48</definedName>
    <definedName name="FHD_NOTE_P_32">DATA_NPA!$N$49</definedName>
    <definedName name="FHD_NOTE_P_33">DATA_NPA!$N$50</definedName>
    <definedName name="FHD_NOTE_P_34">DATA_NPA!$N$51</definedName>
    <definedName name="FHD_NOTE_P_35">DATA_NPA!$N$52</definedName>
    <definedName name="FHD_NOTE_P_36">DATA_NPA!$N$53</definedName>
    <definedName name="FHD_NOTE_P_37">DATA_NPA!$N$54</definedName>
    <definedName name="FHD_NOTE_P_38">DATA_NPA!$N$55</definedName>
    <definedName name="FHD_NOTE_P_39">DATA_NPA!$N$56</definedName>
    <definedName name="FHD_NOTE_P_4">DATA_NPA!$N$21</definedName>
    <definedName name="FHD_NOTE_P_40">DATA_NPA!$N$57</definedName>
    <definedName name="FHD_NOTE_P_41">DATA_NPA!$N$58</definedName>
    <definedName name="FHD_NOTE_P_42">DATA_NPA!$N$59</definedName>
    <definedName name="FHD_NOTE_P_43">DATA_NPA!$N$60</definedName>
    <definedName name="FHD_NOTE_P_44">DATA_NPA!$N$61</definedName>
    <definedName name="FHD_NOTE_P_45">DATA_NPA!$N$62</definedName>
    <definedName name="FHD_NOTE_P_46">DATA_NPA!$N$63</definedName>
    <definedName name="FHD_NOTE_P_47">DATA_NPA!$N$64</definedName>
    <definedName name="FHD_NOTE_P_48">DATA_NPA!$N$65</definedName>
    <definedName name="FHD_NOTE_P_49">DATA_NPA!$N$66</definedName>
    <definedName name="FHD_NOTE_P_5">DATA_NPA!$N$22</definedName>
    <definedName name="FHD_NOTE_P_50">DATA_NPA!$N$67</definedName>
    <definedName name="FHD_NOTE_P_51">DATA_NPA!$N$68</definedName>
    <definedName name="FHD_NOTE_P_52">DATA_NPA!$N$69</definedName>
    <definedName name="FHD_NOTE_P_53">DATA_NPA!$N$70</definedName>
    <definedName name="FHD_NOTE_P_54">DATA_NPA!$N$71</definedName>
    <definedName name="FHD_NOTE_P_55">DATA_NPA!$N$72</definedName>
    <definedName name="FHD_NOTE_P_56">DATA_NPA!$N$73</definedName>
    <definedName name="FHD_NOTE_P_57">DATA_NPA!$N$74</definedName>
    <definedName name="FHD_NOTE_P_58">DATA_NPA!$N$75</definedName>
    <definedName name="FHD_NOTE_P_59">DATA_NPA!$N$76</definedName>
    <definedName name="FHD_NOTE_P_6">DATA_NPA!$N$23</definedName>
    <definedName name="FHD_NOTE_P_60">DATA_NPA!$N$77</definedName>
    <definedName name="FHD_NOTE_P_61">DATA_NPA!$N$78</definedName>
    <definedName name="FHD_NOTE_P_62">DATA_NPA!$N$79</definedName>
    <definedName name="FHD_NOTE_P_63">DATA_NPA!$N$80</definedName>
    <definedName name="FHD_NOTE_P_64">DATA_NPA!$N$81</definedName>
    <definedName name="FHD_NOTE_P_65">DATA_NPA!$N$82</definedName>
    <definedName name="FHD_NOTE_P_66">DATA_NPA!$N$83</definedName>
    <definedName name="FHD_NOTE_P_67">DATA_NPA!$N$84</definedName>
    <definedName name="FHD_NOTE_P_68">DATA_NPA!$N$85</definedName>
    <definedName name="FHD_NOTE_P_69">DATA_NPA!$N$86</definedName>
    <definedName name="FHD_NOTE_P_7">DATA_NPA!$N$24</definedName>
    <definedName name="FHD_NOTE_P_70">DATA_NPA!$N$87</definedName>
    <definedName name="FHD_NOTE_P_71">DATA_NPA!$N$88</definedName>
    <definedName name="FHD_NOTE_P_72">DATA_NPA!$N$89</definedName>
    <definedName name="FHD_NOTE_P_73">DATA_NPA!$N$90</definedName>
    <definedName name="FHD_NOTE_P_74">DATA_NPA!$N$91</definedName>
    <definedName name="FHD_NOTE_P_75">DATA_NPA!$N$92</definedName>
    <definedName name="FHD_NOTE_P_76">DATA_NPA!$N$93</definedName>
    <definedName name="FHD_NOTE_P_77">DATA_NPA!$N$94</definedName>
    <definedName name="FHD_NOTE_P_78">DATA_NPA!$N$95</definedName>
    <definedName name="FHD_NOTE_P_79">DATA_NPA!$N$96</definedName>
    <definedName name="FHD_NOTE_P_8">DATA_NPA!$N$25</definedName>
    <definedName name="FHD_NOTE_P_80">DATA_NPA!$N$97</definedName>
    <definedName name="FHD_NOTE_P_81">DATA_NPA!$N$98</definedName>
    <definedName name="FHD_NOTE_P_82">DATA_NPA!$N$99</definedName>
    <definedName name="FHD_NOTE_P_83">DATA_NPA!$N$100</definedName>
    <definedName name="FHD_NOTE_P_84">DATA_NPA!$N$101</definedName>
    <definedName name="FHD_NOTE_P_9">DATA_NPA!$N$26</definedName>
    <definedName name="FHD_NUM_P_1">DATA_NPA!$L$18</definedName>
    <definedName name="FHD_NUM_P_10">DATA_NPA!$L$27</definedName>
    <definedName name="FHD_NUM_P_11">DATA_NPA!$L$28</definedName>
    <definedName name="FHD_NUM_P_12">DATA_NPA!$L$29</definedName>
    <definedName name="FHD_NUM_P_13">DATA_NPA!$L$30</definedName>
    <definedName name="FHD_NUM_P_14">DATA_NPA!$L$31</definedName>
    <definedName name="FHD_NUM_P_15">DATA_NPA!$L$32</definedName>
    <definedName name="FHD_NUM_P_16">DATA_NPA!$L$33</definedName>
    <definedName name="FHD_NUM_P_17">DATA_NPA!$L$34</definedName>
    <definedName name="FHD_NUM_P_18">DATA_NPA!$L$35</definedName>
    <definedName name="FHD_NUM_P_19">DATA_NPA!$L$36</definedName>
    <definedName name="FHD_NUM_P_2">DATA_NPA!$L$19</definedName>
    <definedName name="FHD_NUM_P_20">DATA_NPA!$L$37</definedName>
    <definedName name="FHD_NUM_P_21">DATA_NPA!$L$38</definedName>
    <definedName name="FHD_NUM_P_22">DATA_NPA!$L$39</definedName>
    <definedName name="FHD_NUM_P_23">DATA_NPA!$L$40</definedName>
    <definedName name="FHD_NUM_P_24">DATA_NPA!$L$41</definedName>
    <definedName name="FHD_NUM_P_25">DATA_NPA!$L$42</definedName>
    <definedName name="FHD_NUM_P_26">DATA_NPA!$L$43</definedName>
    <definedName name="FHD_NUM_P_27">DATA_NPA!$L$44</definedName>
    <definedName name="FHD_NUM_P_28">DATA_NPA!$L$45</definedName>
    <definedName name="FHD_NUM_P_29">DATA_NPA!$L$46</definedName>
    <definedName name="FHD_NUM_P_3">DATA_NPA!$L$20</definedName>
    <definedName name="FHD_NUM_P_30">DATA_NPA!$L$47</definedName>
    <definedName name="FHD_NUM_P_31">DATA_NPA!$L$48</definedName>
    <definedName name="FHD_NUM_P_32">DATA_NPA!$L$49</definedName>
    <definedName name="FHD_NUM_P_33">DATA_NPA!$L$50</definedName>
    <definedName name="FHD_NUM_P_34">DATA_NPA!$L$51</definedName>
    <definedName name="FHD_NUM_P_35">DATA_NPA!$L$52</definedName>
    <definedName name="FHD_NUM_P_36">DATA_NPA!$L$53</definedName>
    <definedName name="FHD_NUM_P_37">DATA_NPA!$L$54</definedName>
    <definedName name="FHD_NUM_P_38">DATA_NPA!$L$55</definedName>
    <definedName name="FHD_NUM_P_39">DATA_NPA!$L$56</definedName>
    <definedName name="FHD_NUM_P_4">DATA_NPA!$L$21</definedName>
    <definedName name="FHD_NUM_P_40">DATA_NPA!$L$57</definedName>
    <definedName name="FHD_NUM_P_41">DATA_NPA!$L$58</definedName>
    <definedName name="FHD_NUM_P_42">DATA_NPA!$L$59</definedName>
    <definedName name="FHD_NUM_P_43">DATA_NPA!$L$60</definedName>
    <definedName name="FHD_NUM_P_44">DATA_NPA!$L$61</definedName>
    <definedName name="FHD_NUM_P_45">DATA_NPA!$L$62</definedName>
    <definedName name="FHD_NUM_P_46">DATA_NPA!$L$63</definedName>
    <definedName name="FHD_NUM_P_47">DATA_NPA!$L$64</definedName>
    <definedName name="FHD_NUM_P_48">DATA_NPA!$L$65</definedName>
    <definedName name="FHD_NUM_P_49">DATA_NPA!$L$66</definedName>
    <definedName name="FHD_NUM_P_5">DATA_NPA!$L$22</definedName>
    <definedName name="FHD_NUM_P_50">DATA_NPA!$L$67</definedName>
    <definedName name="FHD_NUM_P_51">DATA_NPA!$L$68</definedName>
    <definedName name="FHD_NUM_P_52">DATA_NPA!$L$69</definedName>
    <definedName name="FHD_NUM_P_53">DATA_NPA!$L$70</definedName>
    <definedName name="FHD_NUM_P_54">DATA_NPA!$L$71</definedName>
    <definedName name="FHD_NUM_P_55">DATA_NPA!$L$72</definedName>
    <definedName name="FHD_NUM_P_56">DATA_NPA!$L$73</definedName>
    <definedName name="FHD_NUM_P_57">DATA_NPA!$L$74</definedName>
    <definedName name="FHD_NUM_P_58">DATA_NPA!$L$75</definedName>
    <definedName name="FHD_NUM_P_59">DATA_NPA!$L$76</definedName>
    <definedName name="FHD_NUM_P_6">DATA_NPA!$L$23</definedName>
    <definedName name="FHD_NUM_P_60">DATA_NPA!$L$77</definedName>
    <definedName name="FHD_NUM_P_61">DATA_NPA!$L$78</definedName>
    <definedName name="FHD_NUM_P_62">DATA_NPA!$L$79</definedName>
    <definedName name="FHD_NUM_P_63">DATA_NPA!$L$80</definedName>
    <definedName name="FHD_NUM_P_64">DATA_NPA!$L$81</definedName>
    <definedName name="FHD_NUM_P_65">DATA_NPA!$L$82</definedName>
    <definedName name="FHD_NUM_P_66">DATA_NPA!$L$83</definedName>
    <definedName name="FHD_NUM_P_67">DATA_NPA!$L$84</definedName>
    <definedName name="FHD_NUM_P_68">DATA_NPA!$L$85</definedName>
    <definedName name="FHD_NUM_P_69">DATA_NPA!$L$86</definedName>
    <definedName name="FHD_NUM_P_7">DATA_NPA!$L$24</definedName>
    <definedName name="FHD_NUM_P_70">DATA_NPA!$L$87</definedName>
    <definedName name="FHD_NUM_P_71">DATA_NPA!$L$88</definedName>
    <definedName name="FHD_NUM_P_72">DATA_NPA!$L$89</definedName>
    <definedName name="FHD_NUM_P_73">DATA_NPA!$L$90</definedName>
    <definedName name="FHD_NUM_P_74">DATA_NPA!$L$91</definedName>
    <definedName name="FHD_NUM_P_75">DATA_NPA!$L$92</definedName>
    <definedName name="FHD_NUM_P_76">DATA_NPA!$L$93</definedName>
    <definedName name="FHD_NUM_P_77">DATA_NPA!$L$94</definedName>
    <definedName name="FHD_NUM_P_78">DATA_NPA!$L$95</definedName>
    <definedName name="FHD_NUM_P_79">DATA_NPA!$L$96</definedName>
    <definedName name="FHD_NUM_P_8">DATA_NPA!$L$25</definedName>
    <definedName name="FHD_NUM_P_80">DATA_NPA!$L$97</definedName>
    <definedName name="FHD_NUM_P_81">DATA_NPA!$L$98</definedName>
    <definedName name="FHD_NUM_P_82">DATA_NPA!$L$99</definedName>
    <definedName name="FHD_NUM_P_83">DATA_NPA!$L$100</definedName>
    <definedName name="FHD_NUM_P_84">DATA_NPA!$L$101</definedName>
    <definedName name="FHD_NUM_P_9">DATA_NPA!$L$26</definedName>
    <definedName name="FHD_NUM_P_A">DATA_NPA!$L$18</definedName>
    <definedName name="FHD_P_1">DATA_NPA!$M$18</definedName>
    <definedName name="FHD_P_10">DATA_NPA!$M$27</definedName>
    <definedName name="FHD_P_11">DATA_NPA!$M$28</definedName>
    <definedName name="FHD_P_12">DATA_NPA!$M$29</definedName>
    <definedName name="FHD_P_13">DATA_NPA!$M$30</definedName>
    <definedName name="FHD_P_14">DATA_NPA!$M$31</definedName>
    <definedName name="FHD_P_15">DATA_NPA!$M$32</definedName>
    <definedName name="FHD_P_16">DATA_NPA!$M$33</definedName>
    <definedName name="FHD_P_17">DATA_NPA!$M$34</definedName>
    <definedName name="FHD_P_18">DATA_NPA!$M$35</definedName>
    <definedName name="FHD_P_19">DATA_NPA!$M$36</definedName>
    <definedName name="FHD_P_2">DATA_NPA!$M$19</definedName>
    <definedName name="FHD_P_20">DATA_NPA!$M$37</definedName>
    <definedName name="FHD_P_21">DATA_NPA!$M$38</definedName>
    <definedName name="FHD_P_22">DATA_NPA!$M$39</definedName>
    <definedName name="FHD_P_23">DATA_NPA!$M$40</definedName>
    <definedName name="FHD_P_24">DATA_NPA!$M$41</definedName>
    <definedName name="FHD_P_25">DATA_NPA!$M$42</definedName>
    <definedName name="FHD_P_26">DATA_NPA!$M$43</definedName>
    <definedName name="FHD_P_27">DATA_NPA!$M$44</definedName>
    <definedName name="FHD_P_28">DATA_NPA!$M$45</definedName>
    <definedName name="FHD_P_29">DATA_NPA!$M$46</definedName>
    <definedName name="FHD_P_3">DATA_NPA!$M$20</definedName>
    <definedName name="FHD_P_30">DATA_NPA!$M$47</definedName>
    <definedName name="FHD_P_31">DATA_NPA!$M$48</definedName>
    <definedName name="FHD_P_32">DATA_NPA!$M$49</definedName>
    <definedName name="FHD_P_33">DATA_NPA!$M$50</definedName>
    <definedName name="FHD_P_34">DATA_NPA!$M$51</definedName>
    <definedName name="FHD_P_35">DATA_NPA!$M$52</definedName>
    <definedName name="FHD_P_36">DATA_NPA!$M$53</definedName>
    <definedName name="FHD_P_37">DATA_NPA!$M$54</definedName>
    <definedName name="FHD_P_38">DATA_NPA!$M$55</definedName>
    <definedName name="FHD_P_39">DATA_NPA!$M$56</definedName>
    <definedName name="FHD_P_4">DATA_NPA!$M$21</definedName>
    <definedName name="FHD_P_40">DATA_NPA!$M$57</definedName>
    <definedName name="FHD_P_41">DATA_NPA!$M$58</definedName>
    <definedName name="FHD_P_42">DATA_NPA!$M$59</definedName>
    <definedName name="FHD_P_43">DATA_NPA!$M$60</definedName>
    <definedName name="FHD_P_44">DATA_NPA!$M$61</definedName>
    <definedName name="FHD_P_45">DATA_NPA!$M$62</definedName>
    <definedName name="FHD_P_46">DATA_NPA!$M$63</definedName>
    <definedName name="FHD_P_47">DATA_NPA!$M$64</definedName>
    <definedName name="FHD_P_48">DATA_NPA!$M$65</definedName>
    <definedName name="FHD_P_49">DATA_NPA!$M$66</definedName>
    <definedName name="FHD_P_5">DATA_NPA!$M$22</definedName>
    <definedName name="FHD_P_50">DATA_NPA!$M$67</definedName>
    <definedName name="FHD_P_51">DATA_NPA!$M$68</definedName>
    <definedName name="FHD_P_52">DATA_NPA!$M$69</definedName>
    <definedName name="FHD_P_53">DATA_NPA!$M$70</definedName>
    <definedName name="FHD_P_54">DATA_NPA!$M$71</definedName>
    <definedName name="FHD_P_55">DATA_NPA!$M$72</definedName>
    <definedName name="FHD_P_56">DATA_NPA!$M$73</definedName>
    <definedName name="FHD_P_57">DATA_NPA!$M$74</definedName>
    <definedName name="FHD_P_58">DATA_NPA!$M$75</definedName>
    <definedName name="FHD_P_59">DATA_NPA!$M$76</definedName>
    <definedName name="FHD_P_6">DATA_NPA!$M$23</definedName>
    <definedName name="FHD_P_60">DATA_NPA!$M$77</definedName>
    <definedName name="FHD_P_61">DATA_NPA!$M$78</definedName>
    <definedName name="FHD_P_62">DATA_NPA!$M$79</definedName>
    <definedName name="FHD_P_63">DATA_NPA!$M$80</definedName>
    <definedName name="FHD_P_64">DATA_NPA!$M$81</definedName>
    <definedName name="FHD_P_65">DATA_NPA!$M$82</definedName>
    <definedName name="FHD_P_66">DATA_NPA!$M$83</definedName>
    <definedName name="FHD_P_67">DATA_NPA!$M$84</definedName>
    <definedName name="FHD_P_68">DATA_NPA!$M$85</definedName>
    <definedName name="FHD_P_69">DATA_NPA!$M$86</definedName>
    <definedName name="FHD_P_7">DATA_NPA!$M$24</definedName>
    <definedName name="FHD_P_70">DATA_NPA!$M$87</definedName>
    <definedName name="FHD_P_71">DATA_NPA!$M$88</definedName>
    <definedName name="FHD_P_72">DATA_NPA!$M$89</definedName>
    <definedName name="FHD_P_73">DATA_NPA!$M$90</definedName>
    <definedName name="FHD_P_74">DATA_NPA!$M$91</definedName>
    <definedName name="FHD_P_75">DATA_NPA!$M$92</definedName>
    <definedName name="FHD_P_76">DATA_NPA!$M$93</definedName>
    <definedName name="FHD_P_77">DATA_NPA!$M$94</definedName>
    <definedName name="FHD_P_78">DATA_NPA!$M$95</definedName>
    <definedName name="FHD_P_79">DATA_NPA!$M$96</definedName>
    <definedName name="FHD_P_8">DATA_NPA!$M$25</definedName>
    <definedName name="FHD_P_80">DATA_NPA!$M$97</definedName>
    <definedName name="FHD_P_81">DATA_NPA!$M$98</definedName>
    <definedName name="FHD_P_82">DATA_NPA!$M$99</definedName>
    <definedName name="FHD_P_83">DATA_NPA!$M$100</definedName>
    <definedName name="FHD_P_84">DATA_NPA!$M$101</definedName>
    <definedName name="FHD_P_9">DATA_NPA!$M$26</definedName>
    <definedName name="FHD_P_A">DATA_NPA!$M$18</definedName>
    <definedName name="FHD20_NAME_FORM">DATA_FORMS!$C$7</definedName>
    <definedName name="fil">Титульный!$F$32</definedName>
    <definedName name="flag_Q_LIMIT_p3">Ограничения!$F$36:$K$36</definedName>
    <definedName name="flag_Q_LIMIT_p4">Ограничения!$F$38:$K$38</definedName>
    <definedName name="HEAT_FIN_SRC_LIST">TEHSHEET!$BH$4:$BH$26</definedName>
    <definedName name="HEAT_FIN_SRC_VLD_LIST">TEHSHEET!$BH$39:$BH$54</definedName>
    <definedName name="HEAT_IP_EVENT_CI_STAGE_LIST">TEHSHEET!$BH$97:$BH$99</definedName>
    <definedName name="HEAT_IP_EVENT_GROUP_LIST">TEHSHEET!$BH$69:$BH$76</definedName>
    <definedName name="HEAT_IP_EVENT_SUBGROUP_1_LIST">TEHSHEET!$BH$80:$BH$83</definedName>
    <definedName name="HEAT_IP_EVENT_SUBGROUP_3_LIST">TEHSHEET!$BH$87:$BH$88</definedName>
    <definedName name="HEAT_IP_EVENT_SUBGROUP_5_LIST">TEHSHEET!$BH$92:$BH$93</definedName>
    <definedName name="HEAT_IP_EVENT_TYPE_LIST">TEHSHEET!$BH$108:$BH$110</definedName>
    <definedName name="HEAT_PT_SCHEME">TEHSHEET!$BH$115:$BH$118</definedName>
    <definedName name="HEAT_PT_TARIFF_ID">TEHSHEET!$BQ$5:$BQ$14</definedName>
    <definedName name="HEAT_PT_TARIFF_NAME">TEHSHEET!$BR$5:$BR$14</definedName>
    <definedName name="HEAT_PT_TARIFF_NAME_LIST">TEHSHEET!$BQ$5:$BR$14</definedName>
    <definedName name="HEAT_PT_VED_ID">TEHSHEET!$BQ$19:$BQ$28</definedName>
    <definedName name="HEAT_PT_VED_NAME">TEHSHEET!$BR$19:$BR$28</definedName>
    <definedName name="HEAT_PT_VED_NAME_LIST">TEHSHEET!$BQ$19:$BR$28</definedName>
    <definedName name="HEAT_TARIFF_A_ADD_HL_COLUMN_MARKER">'ТС. Т-ТЭ | &gt;=25МВт'!$T$36</definedName>
    <definedName name="HEAT_TARIFF_A_DEL_HL_GC_COLUMN_MARKER">'ТС. Т-ТЭ | &gt;=25МВт'!$Q$36</definedName>
    <definedName name="HEAT_TARIFF_A_DEL_HL_SCHEME_COLUMN_MARKER">'ТС. Т-ТЭ | &gt;=25МВт'!$P$36</definedName>
    <definedName name="HEAT_TARIFF_A_DEL_HL_TN_COLUMN_MARKER">'ТС. Т-ТЭ | &gt;=25МВт'!$R$36</definedName>
    <definedName name="HEAT_TARIFF_A_DELETE_PERIOD_ROW_MARKER">'ТС. Т-ТЭ | &gt;=25МВт'!$O$37</definedName>
    <definedName name="HEAT_TARIFF_A_FLAG_BLOCK_COLUMN_MARKER">'ТС. Т-ТЭ | &gt;=25МВт'!$L$41</definedName>
    <definedName name="HEAT_TARIFF_A_FLAG_BLOCK_ROW_MARKER">'ТС. Т-ТЭ | &gt;=25МВт'!$O$22</definedName>
    <definedName name="HEAT_TARIFF_A_NUM_CS_COLUMN_MARKER">'ТС. Т-ТЭ | &gt;=25МВт'!$G$41</definedName>
    <definedName name="HEAT_TARIFF_A_NUM_GC_COLUMN_MARKER">'ТС. Т-ТЭ | &gt;=25МВт'!$J$41</definedName>
    <definedName name="HEAT_TARIFF_A_NUM_IST_TE_COLUMN_MARKER">'ТС. Т-ТЭ | &gt;=25МВт'!$H$41</definedName>
    <definedName name="HEAT_TARIFF_A_NUM_NTAR_COLUMN_MARKER">'ТС. Т-ТЭ | &gt;=25МВт'!$E$41</definedName>
    <definedName name="HEAT_TARIFF_A_NUM_SCHEME_COLUMN_MARKER">'ТС. Т-ТЭ | &gt;=25МВт'!$I$41</definedName>
    <definedName name="HEAT_TARIFF_A_NUM_TER_COLUMN_MARKER">'ТС. Т-ТЭ | &gt;=25МВт'!$F$41</definedName>
    <definedName name="HEAT_TARIFF_A_NUM_TN_COLUMN_MARKER">'ТС. Т-ТЭ | &gt;=25МВт'!$K$41</definedName>
    <definedName name="HEAT_TARIFF_B_ADD_HL_COLUMN_MARKER">'ТС. Т-ТЭ | ТСО'!$T$36</definedName>
    <definedName name="HEAT_TARIFF_B_DEL_HL_GC_COLUMN_MARKER">'ТС. Т-ТЭ | ТСО'!$Q$36</definedName>
    <definedName name="HEAT_TARIFF_B_DEL_HL_SCHEME_COLUMN_MARKER">'ТС. Т-ТЭ | ТСО'!$P$36</definedName>
    <definedName name="HEAT_TARIFF_B_DEL_HL_TN_COLUMN_MARKER">'ТС. Т-ТЭ | ТСО'!$R$36</definedName>
    <definedName name="HEAT_TARIFF_B_DELETE_PERIOD_ROW_MARKER">'ТС. Т-ТЭ | ТСО'!$O$37</definedName>
    <definedName name="HEAT_TARIFF_B_FLAG_BLOCK_COLUMN_MARKER">'ТС. Т-ТЭ | ТСО'!$L$41</definedName>
    <definedName name="HEAT_TARIFF_B_FLAG_BLOCK_ROW_MARKER">'ТС. Т-ТЭ | ТСО'!$O$22</definedName>
    <definedName name="HEAT_TARIFF_B_NUM_CS_COLUMN_MARKER">'ТС. Т-ТЭ | ТСО'!$G$41</definedName>
    <definedName name="HEAT_TARIFF_B_NUM_GC_COLUMN_MARKER">'ТС. Т-ТЭ | ТСО'!$J$41</definedName>
    <definedName name="HEAT_TARIFF_B_NUM_IST_TE_COLUMN_MARKER">'ТС. Т-ТЭ | ТСО'!$H$41</definedName>
    <definedName name="HEAT_TARIFF_B_NUM_NTAR_COLUMN_MARKER">'ТС. Т-ТЭ | ТСО'!$E$41</definedName>
    <definedName name="HEAT_TARIFF_B_NUM_SCHEME_COLUMN_MARKER">'ТС. Т-ТЭ | ТСО'!$I$41</definedName>
    <definedName name="HEAT_TARIFF_B_NUM_TER_COLUMN_MARKER">'ТС. Т-ТЭ | ТСО'!$F$41</definedName>
    <definedName name="HEAT_TARIFF_B_NUM_TN_COLUMN_MARKER">'ТС. Т-ТЭ | ТСО'!$K$41</definedName>
    <definedName name="HEAT_TARIFF_C_ADD_HL_COLUMN_MARKER">'ТС. Т-ТН'!$T$36</definedName>
    <definedName name="HEAT_TARIFF_C_DEL_HL_GC_COLUMN_MARKER">'ТС. Т-ТН'!$Q$36</definedName>
    <definedName name="HEAT_TARIFF_C_DEL_HL_SCHEME_COLUMN_MARKER">'ТС. Т-ТН'!$P$36</definedName>
    <definedName name="HEAT_TARIFF_C_DEL_HL_TN_COLUMN_MARKER">'ТС. Т-ТН'!$R$36</definedName>
    <definedName name="HEAT_TARIFF_C_DELETE_PERIOD_ROW_MARKER">'ТС. Т-ТН'!$O$37</definedName>
    <definedName name="HEAT_TARIFF_C_FLAG_BLOCK_COLUMN_MARKER">'ТС. Т-ТН'!$L$41</definedName>
    <definedName name="HEAT_TARIFF_C_FLAG_BLOCK_ROW_MARKER">'ТС. Т-ТН'!$O$22</definedName>
    <definedName name="HEAT_TARIFF_C_NUM_CS_COLUMN_MARKER">'ТС. Т-ТН'!$G$41</definedName>
    <definedName name="HEAT_TARIFF_C_NUM_GC_COLUMN_MARKER">'ТС. Т-ТН'!$J$41</definedName>
    <definedName name="HEAT_TARIFF_C_NUM_IST_TE_COLUMN_MARKER">'ТС. Т-ТН'!$H$41</definedName>
    <definedName name="HEAT_TARIFF_C_NUM_NTAR_COLUMN_MARKER">'ТС. Т-ТН'!$E$41</definedName>
    <definedName name="HEAT_TARIFF_C_NUM_SCHEME_COLUMN_MARKER">'ТС. Т-ТН'!$I$41</definedName>
    <definedName name="HEAT_TARIFF_C_NUM_TER_COLUMN_MARKER">'ТС. Т-ТН'!$F$41</definedName>
    <definedName name="HEAT_TARIFF_C_NUM_TN_COLUMN_MARKER">'ТС. Т-ТН'!$K$41</definedName>
    <definedName name="HEAT_TARIFF_D_ADD_HL_COLUMN_MARKER">'ТС. Т-гор.вода'!$V$40</definedName>
    <definedName name="HEAT_TARIFF_D_DEL_HL_CONS_COLUMN_MARKER">'ТС. Т-гор.вода'!$T$40</definedName>
    <definedName name="HEAT_TARIFF_D_DEL_HL_GC_COLUMN_MARKER">'ТС. Т-гор.вода'!$R$40</definedName>
    <definedName name="HEAT_TARIFF_D_DEL_HL_SCHEME_COLUMN_MARKER">'ТС. Т-гор.вода'!$Q$40</definedName>
    <definedName name="HEAT_TARIFF_D_DEL_HL_TN_COLUMN_MARKER">'ТС. Т-гор.вода'!$S$40</definedName>
    <definedName name="HEAT_TARIFF_D_DELETE_PERIOD_ROW_MARKER">'ТС. Т-гор.вода'!$P$41</definedName>
    <definedName name="HEAT_TARIFF_D_FLAG_BLOCK_COLUMN_MARKER">'ТС. Т-гор.вода'!$M$47</definedName>
    <definedName name="HEAT_TARIFF_D_FLAG_BLOCK_ROW_MARKER">'ТС. Т-гор.вода'!$P$26</definedName>
    <definedName name="HEAT_TARIFF_D_NUM_CONS_COLUMN_MARKER">'ТС. Т-гор.вода'!$L$47</definedName>
    <definedName name="HEAT_TARIFF_D_NUM_CS_COLUMN_MARKER">'ТС. Т-гор.вода'!$G$47</definedName>
    <definedName name="HEAT_TARIFF_D_NUM_GC_COLUMN_MARKER">'ТС. Т-гор.вода'!$J$47</definedName>
    <definedName name="HEAT_TARIFF_D_NUM_IST_TE_COLUMN_MARKER">'ТС. Т-гор.вода'!$H$47</definedName>
    <definedName name="HEAT_TARIFF_D_NUM_NTAR_COLUMN_MARKER">'ТС. Т-гор.вода'!$E$47</definedName>
    <definedName name="HEAT_TARIFF_D_NUM_SCHEME_COLUMN_MARKER">'ТС. Т-гор.вода'!$I$47</definedName>
    <definedName name="HEAT_TARIFF_D_NUM_TER_COLUMN_MARKER">'ТС. Т-гор.вода'!$F$47</definedName>
    <definedName name="HEAT_TARIFF_D_NUM_TN_COLUMN_MARKER">'ТС. Т-гор.вода'!$K$47</definedName>
    <definedName name="HEAT_TARIFF_E1_ADD_HL_COLUMN_MARKER">'ТС. Т-передача ТЭ'!$T$36</definedName>
    <definedName name="HEAT_TARIFF_E1_DEL_HL_GC_COLUMN_MARKER">'ТС. Т-передача ТЭ'!$Q$36</definedName>
    <definedName name="HEAT_TARIFF_E1_DEL_HL_SCHEME_COLUMN_MARKER">'ТС. Т-передача ТЭ'!$P$36</definedName>
    <definedName name="HEAT_TARIFF_E1_DEL_HL_TN_COLUMN_MARKER">'ТС. Т-передача ТЭ'!$R$36</definedName>
    <definedName name="HEAT_TARIFF_E1_DELETE_PERIOD_ROW_MARKER">'ТС. Т-передача ТЭ'!$O$37</definedName>
    <definedName name="HEAT_TARIFF_E1_FLAG_BLOCK_COLUMN_MARKER">'ТС. Т-передача ТЭ'!$L$41</definedName>
    <definedName name="HEAT_TARIFF_E1_FLAG_BLOCK_ROW_MARKER">'ТС. Т-передача ТЭ'!$O$22</definedName>
    <definedName name="HEAT_TARIFF_E1_NUM_CS_COLUMN_MARKER">'ТС. Т-передача ТЭ'!$G$41</definedName>
    <definedName name="HEAT_TARIFF_E1_NUM_GC_COLUMN_MARKER">'ТС. Т-передача ТЭ'!$J$41</definedName>
    <definedName name="HEAT_TARIFF_E1_NUM_IST_TE_COLUMN_MARKER">'ТС. Т-передача ТЭ'!$H$41</definedName>
    <definedName name="HEAT_TARIFF_E1_NUM_NTAR_COLUMN_MARKER">'ТС. Т-передача ТЭ'!$E$41</definedName>
    <definedName name="HEAT_TARIFF_E1_NUM_SCHEME_COLUMN_MARKER">'ТС. Т-передача ТЭ'!$I$41</definedName>
    <definedName name="HEAT_TARIFF_E1_NUM_TER_COLUMN_MARKER">'ТС. Т-передача ТЭ'!$F$41</definedName>
    <definedName name="HEAT_TARIFF_E1_NUM_TN_COLUMN_MARKER">'ТС. Т-передача ТЭ'!$K$41</definedName>
    <definedName name="HEAT_TARIFF_E2_ADD_HL_COLUMN_MARKER">'ТС. Т-передача ТН'!$T$36</definedName>
    <definedName name="HEAT_TARIFF_E2_DEL_HL_GC_COLUMN_MARKER">'ТС. Т-передача ТН'!$Q$36</definedName>
    <definedName name="HEAT_TARIFF_E2_DEL_HL_SCHEME_COLUMN_MARKER">'ТС. Т-передача ТН'!$P$36</definedName>
    <definedName name="HEAT_TARIFF_E2_DEL_HL_TN_COLUMN_MARKER">'ТС. Т-передача ТН'!$R$36</definedName>
    <definedName name="HEAT_TARIFF_E2_DELETE_PERIOD_ROW_MARKER">'ТС. Т-передача ТН'!$O$37</definedName>
    <definedName name="HEAT_TARIFF_E2_FLAG_BLOCK_COLUMN_MARKER">'ТС. Т-передача ТН'!$L$41</definedName>
    <definedName name="HEAT_TARIFF_E2_FLAG_BLOCK_ROW_MARKER">'ТС. Т-передача ТН'!$O$22</definedName>
    <definedName name="HEAT_TARIFF_E2_NUM_CS_COLUMN_MARKER">'ТС. Т-передача ТН'!$G$41</definedName>
    <definedName name="HEAT_TARIFF_E2_NUM_GC_COLUMN_MARKER">'ТС. Т-передача ТН'!$J$41</definedName>
    <definedName name="HEAT_TARIFF_E2_NUM_IST_TE_COLUMN_MARKER">'ТС. Т-передача ТН'!$H$41</definedName>
    <definedName name="HEAT_TARIFF_E2_NUM_NTAR_COLUMN_MARKER">'ТС. Т-передача ТН'!$E$41</definedName>
    <definedName name="HEAT_TARIFF_E2_NUM_SCHEME_COLUMN_MARKER">'ТС. Т-передача ТН'!$I$41</definedName>
    <definedName name="HEAT_TARIFF_E2_NUM_TER_COLUMN_MARKER">'ТС. Т-передача ТН'!$F$41</definedName>
    <definedName name="HEAT_TARIFF_E2_NUM_TN_COLUMN_MARKER">'ТС. Т-передача ТН'!$K$41</definedName>
    <definedName name="HEAT_TARIFF_F_ADD_HL_COLUMN_MARKER">'ТС. Резерв мощности'!$T$36</definedName>
    <definedName name="HEAT_TARIFF_F_DEL_HL_GC_COLUMN_MARKER">'ТС. Резерв мощности'!$Q$36</definedName>
    <definedName name="HEAT_TARIFF_F_DEL_HL_SCHEME_COLUMN_MARKER">'ТС. Резерв мощности'!$P$36</definedName>
    <definedName name="HEAT_TARIFF_F_DEL_HL_TN_COLUMN_MARKER">'ТС. Резерв мощности'!$R$36</definedName>
    <definedName name="HEAT_TARIFF_F_DELETE_PERIOD_ROW_MARKER">'ТС. Резерв мощности'!$O$37</definedName>
    <definedName name="HEAT_TARIFF_F_FLAG_BLOCK_COLUMN_MARKER">'ТС. Резерв мощности'!$L$41</definedName>
    <definedName name="HEAT_TARIFF_F_FLAG_BLOCK_ROW_MARKER">'ТС. Резерв мощности'!$O$22</definedName>
    <definedName name="HEAT_TARIFF_F_NUM_CS_COLUMN_MARKER">'ТС. Резерв мощности'!$G$41</definedName>
    <definedName name="HEAT_TARIFF_F_NUM_GC_COLUMN_MARKER">'ТС. Резерв мощности'!$J$41</definedName>
    <definedName name="HEAT_TARIFF_F_NUM_IST_TE_COLUMN_MARKER">'ТС. Резерв мощности'!$H$41</definedName>
    <definedName name="HEAT_TARIFF_F_NUM_NTAR_COLUMN_MARKER">'ТС. Резерв мощности'!$E$41</definedName>
    <definedName name="HEAT_TARIFF_F_NUM_SCHEME_COLUMN_MARKER">'ТС. Резерв мощности'!$I$41</definedName>
    <definedName name="HEAT_TARIFF_F_NUM_TER_COLUMN_MARKER">'ТС. Резерв мощности'!$F$41</definedName>
    <definedName name="HEAT_TARIFF_F_NUM_TN_COLUMN_MARKER">'ТС. Резерв мощности'!$K$41</definedName>
    <definedName name="HEAT_TARIFF_G_ADD_HL_COLUMN_MARKER">'ТС. Т-подкл'!$T$37</definedName>
    <definedName name="HEAT_TARIFF_G_ADD_HL_DIAMETERS_COLUMN_MARKER">'ТС. Т-подкл'!$AM$37</definedName>
    <definedName name="HEAT_TARIFF_G_ADD_HL_LOAD_COLUMN_MARKER">'ТС. Т-подкл'!$AE$37</definedName>
    <definedName name="HEAT_TARIFF_G_ADD_HL_NETS_COLUMN_MARKER">'ТС. Т-подкл'!$AI$37</definedName>
    <definedName name="HEAT_TARIFF_G_DEL_HL_DIAMETERS_COLUMN_MARKER">'ТС. Т-подкл'!$AK$37</definedName>
    <definedName name="HEAT_TARIFF_G_DEL_HL_GC_COLUMN_MARKER">'ТС. Т-подкл'!$Q$37</definedName>
    <definedName name="HEAT_TARIFF_G_DEL_HL_LOAD_COLUMN_MARKER">'ТС. Т-подкл'!$AC$37</definedName>
    <definedName name="HEAT_TARIFF_G_DEL_HL_NETS_COLUMN_MARKER">'ТС. Т-подкл'!$AG$37</definedName>
    <definedName name="HEAT_TARIFF_G_DEL_HL_SCHEME_COLUMN_MARKER">'ТС. Т-подкл'!$P$37</definedName>
    <definedName name="HEAT_TARIFF_G_DEL_HL_TN_COLUMN_MARKER">'ТС. Т-подкл'!$R$37</definedName>
    <definedName name="HEAT_TARIFF_G_DELETE_PERIOD_ROW_MARKER">'ТС. Т-подкл'!$O$38</definedName>
    <definedName name="HEAT_TARIFF_G_FLAG_BLOCK_COLUMN_MARKER">'ТС. Т-подкл'!$L$43</definedName>
    <definedName name="HEAT_TARIFF_G_FLAG_BLOCK_ROW_MARKER">'ТС. Т-подкл'!$O$23</definedName>
    <definedName name="HEAT_TARIFF_G_NUM_CS_COLUMN_MARKER">'ТС. Т-подкл'!$G$43</definedName>
    <definedName name="HEAT_TARIFF_G_NUM_DIAMETERS_COLUMN_MARKER">'ТС. Т-подкл'!$AL$37</definedName>
    <definedName name="HEAT_TARIFF_G_NUM_GC_COLUMN_MARKER">'ТС. Т-подкл'!$J$43</definedName>
    <definedName name="HEAT_TARIFF_G_NUM_IST_TE_COLUMN_MARKER">'ТС. Т-подкл'!$H$43</definedName>
    <definedName name="HEAT_TARIFF_G_NUM_LOAD_COLUMN_MARKER">'ТС. Т-подкл'!$AD$37</definedName>
    <definedName name="HEAT_TARIFF_G_NUM_NETS_COLUMN_MARKER">'ТС. Т-подкл'!$AH$37</definedName>
    <definedName name="HEAT_TARIFF_G_NUM_NTAR_COLUMN_MARKER">'ТС. Т-подкл'!$E$43</definedName>
    <definedName name="HEAT_TARIFF_G_NUM_SCHEME_COLUMN_MARKER">'ТС. Т-подкл'!$I$43</definedName>
    <definedName name="HEAT_TARIFF_G_NUM_TER_COLUMN_MARKER">'ТС. Т-подкл'!$F$43</definedName>
    <definedName name="HEAT_TARIFF_G_NUM_TN_COLUMN_MARKER">'ТС. Т-подкл'!$K$43</definedName>
    <definedName name="HEAT_TARIFF_H_ADD_HL_COLUMN_MARKER">'ТС. Т-подкл(инд)'!$T$34</definedName>
    <definedName name="HEAT_TARIFF_H_ADD_HL_DIAMETERS_COLUMN_MARKER">'ТС. Т-подкл(инд)'!$AO$34</definedName>
    <definedName name="HEAT_TARIFF_H_ADD_HL_LOAD_COLUMN_MARKER">'ТС. Т-подкл(инд)'!$AM$34</definedName>
    <definedName name="HEAT_TARIFF_H_ADD_HL_NETS_COLUMN_MARKER">'ТС. Т-подкл(инд)'!$AN$34</definedName>
    <definedName name="HEAT_TARIFF_H_DEL_HL_DIAMETERS_COLUMN_MARKER">'ТС. Т-подкл(инд)'!$AO$34</definedName>
    <definedName name="HEAT_TARIFF_H_DEL_HL_GC_COLUMN_MARKER">'ТС. Т-подкл(инд)'!$Q$34</definedName>
    <definedName name="HEAT_TARIFF_H_DEL_HL_LOAD_COLUMN_MARKER">'ТС. Т-подкл(инд)'!$AM$34</definedName>
    <definedName name="HEAT_TARIFF_H_DEL_HL_NETS_COLUMN_MARKER">'ТС. Т-подкл(инд)'!$AN$34</definedName>
    <definedName name="HEAT_TARIFF_H_DEL_HL_SCHEME_COLUMN_MARKER">'ТС. Т-подкл(инд)'!$P$34</definedName>
    <definedName name="HEAT_TARIFF_H_DEL_HL_TN_COLUMN_MARKER">'ТС. Т-подкл(инд)'!$R$34</definedName>
    <definedName name="HEAT_TARIFF_H_DELETE_PERIOD_ROW_MARKER">'ТС. Т-подкл(инд)'!$O$35</definedName>
    <definedName name="HEAT_TARIFF_H_FLAG_BLOCK_COLUMN_MARKER">'ТС. Т-подкл(инд)'!$L$40</definedName>
    <definedName name="HEAT_TARIFF_H_FLAG_BLOCK_ROW_MARKER">'ТС. Т-подкл(инд)'!$O$20</definedName>
    <definedName name="HEAT_TARIFF_H_NUM_CS_COLUMN_MARKER">'ТС. Т-подкл(инд)'!$G$40</definedName>
    <definedName name="HEAT_TARIFF_H_NUM_DIAMETERS_COLUMN_MARKER">'ТС. Т-подкл(инд)'!$AO$34</definedName>
    <definedName name="HEAT_TARIFF_H_NUM_GC_COLUMN_MARKER">'ТС. Т-подкл(инд)'!$J$40</definedName>
    <definedName name="HEAT_TARIFF_H_NUM_IST_TE_COLUMN_MARKER">'ТС. Т-подкл(инд)'!$H$40</definedName>
    <definedName name="HEAT_TARIFF_H_NUM_LOAD_COLUMN_MARKER">'ТС. Т-подкл(инд)'!$AM$34</definedName>
    <definedName name="HEAT_TARIFF_H_NUM_NETS_COLUMN_MARKER">'ТС. Т-подкл(инд)'!$AN$34</definedName>
    <definedName name="HEAT_TARIFF_H_NUM_NTAR_COLUMN_MARKER">'ТС. Т-подкл(инд)'!$E$40</definedName>
    <definedName name="HEAT_TARIFF_H_NUM_SCHEME_COLUMN_MARKER">'ТС. Т-подкл(инд)'!$I$40</definedName>
    <definedName name="HEAT_TARIFF_H_NUM_TER_COLUMN_MARKER">'ТС. Т-подкл(инд)'!$F$40</definedName>
    <definedName name="HEAT_TARIFF_H_NUM_TN_COLUMN_MARKER">'ТС. Т-подкл(инд)'!$K$40</definedName>
    <definedName name="HEAT_TARIFF_I_1_ADD_HL_COLUMN_MARKER">'ТС. Т-ТЭ | индикат'!$T$36</definedName>
    <definedName name="HEAT_TARIFF_I_1_DEL_HL_GC_COLUMN_MARKER">'ТС. Т-ТЭ | индикат'!$Q$36</definedName>
    <definedName name="HEAT_TARIFF_I_1_DEL_HL_SCHEME_COLUMN_MARKER">'ТС. Т-ТЭ | индикат'!$P$36</definedName>
    <definedName name="HEAT_TARIFF_I_1_DEL_HL_TN_COLUMN_MARKER">'ТС. Т-ТЭ | индикат'!$R$36</definedName>
    <definedName name="HEAT_TARIFF_I_1_DELETE_PERIOD_ROW_MARKER">'ТС. Т-ТЭ | индикат'!$O$37</definedName>
    <definedName name="HEAT_TARIFF_I_1_FLAG_BLOCK_COLUMN_MARKER">'ТС. Т-ТЭ | индикат'!$L$41</definedName>
    <definedName name="HEAT_TARIFF_I_1_FLAG_BLOCK_ROW_MARKER">'ТС. Т-ТЭ | индикат'!$O$22</definedName>
    <definedName name="HEAT_TARIFF_I_1_NUM_CS_COLUMN_MARKER">'ТС. Т-ТЭ | индикат'!$G$41</definedName>
    <definedName name="HEAT_TARIFF_I_1_NUM_GC_COLUMN_MARKER">'ТС. Т-ТЭ | индикат'!$J$41</definedName>
    <definedName name="HEAT_TARIFF_I_1_NUM_IST_TE_COLUMN_MARKER">'ТС. Т-ТЭ | индикат'!$H$41</definedName>
    <definedName name="HEAT_TARIFF_I_1_NUM_NTAR_COLUMN_MARKER">'ТС. Т-ТЭ | индикат'!$E$41</definedName>
    <definedName name="HEAT_TARIFF_I_1_NUM_SCHEME_COLUMN_MARKER">'ТС. Т-ТЭ | индикат'!$I$41</definedName>
    <definedName name="HEAT_TARIFF_I_1_NUM_TER_COLUMN_MARKER">'ТС. Т-ТЭ | индикат'!$F$41</definedName>
    <definedName name="HEAT_TARIFF_I_1_NUM_TN_COLUMN_MARKER">'ТС. Т-ТЭ | индикат'!$K$41</definedName>
    <definedName name="HEAT_TARIFF_I_ADD_HL_COLUMN_MARKER">'ТС. Т-ТЭ | предел'!$T$36</definedName>
    <definedName name="HEAT_TARIFF_I_DEL_HL_GC_COLUMN_MARKER">'ТС. Т-ТЭ | предел'!$Q$36</definedName>
    <definedName name="HEAT_TARIFF_I_DEL_HL_SCHEME_COLUMN_MARKER">'ТС. Т-ТЭ | предел'!$P$36</definedName>
    <definedName name="HEAT_TARIFF_I_DEL_HL_TN_COLUMN_MARKER">'ТС. Т-ТЭ | предел'!$R$36</definedName>
    <definedName name="HEAT_TARIFF_I_DELETE_PERIOD_ROW_MARKER">'ТС. Т-ТЭ | предел'!$O$37</definedName>
    <definedName name="HEAT_TARIFF_I_FLAG_BLOCK_COLUMN_MARKER">'ТС. Т-ТЭ | предел'!$L$41</definedName>
    <definedName name="HEAT_TARIFF_I_FLAG_BLOCK_ROW_MARKER">'ТС. Т-ТЭ | предел'!$O$22</definedName>
    <definedName name="HEAT_TARIFF_I_NUM_CS_COLUMN_MARKER">'ТС. Т-ТЭ | предел'!$G$41</definedName>
    <definedName name="HEAT_TARIFF_I_NUM_GC_COLUMN_MARKER">'ТС. Т-ТЭ | предел'!$J$41</definedName>
    <definedName name="HEAT_TARIFF_I_NUM_IST_TE_COLUMN_MARKER">'ТС. Т-ТЭ | предел'!$H$41</definedName>
    <definedName name="HEAT_TARIFF_I_NUM_NTAR_COLUMN_MARKER">'ТС. Т-ТЭ | предел'!$E$41</definedName>
    <definedName name="HEAT_TARIFF_I_NUM_SCHEME_COLUMN_MARKER">'ТС. Т-ТЭ | предел'!$I$41</definedName>
    <definedName name="HEAT_TARIFF_I_NUM_TER_COLUMN_MARKER">'ТС. Т-ТЭ | предел'!$F$41</definedName>
    <definedName name="HEAT_TARIFF_I_NUM_TN_COLUMN_MARKER">'ТС. Т-ТЭ | предел'!$K$41</definedName>
    <definedName name="HOTVSNA_FIN_SRC_LIST">TEHSHEET!$BJ$4:$BJ$34</definedName>
    <definedName name="HOTVSNA_FIN_SRC_VLD_LIST">TEHSHEET!$BJ$39:$BJ$60</definedName>
    <definedName name="HOTVSNA_IP_EVENT_CI_STAGE_LIST">TEHSHEET!$BJ$97:$BJ$100</definedName>
    <definedName name="HOTVSNA_IP_EVENT_GROUP_LIST">TEHSHEET!$BJ$69:$BJ$76</definedName>
    <definedName name="HOTVSNA_IP_EVENT_SUBGROUP_1_LIST">TEHSHEET!$BJ$80:$BJ$83</definedName>
    <definedName name="HOTVSNA_IP_EVENT_SUBGROUP_3_LIST">TEHSHEET!$BJ$87:$BJ$88</definedName>
    <definedName name="HOTVSNA_IP_EVENT_SUBGROUP_5_LIST">TEHSHEET!$BJ$92:$BJ$93</definedName>
    <definedName name="HOTVSNA_IP_EVENT_TYPE_LIST">TEHSHEET!$BJ$108</definedName>
    <definedName name="HOTVSNA_PT_VED_ID">TEHSHEET!$BW$19:$BW$21</definedName>
    <definedName name="HOTVSNA_PT_VED_NAME">TEHSHEET!$BX$19:$BX$21</definedName>
    <definedName name="HOTVSNA_PT_VED_NAME_LIST">TEHSHEET!$BW$19:$BX$21</definedName>
    <definedName name="HOTVSNA_TARIFF_A_HOTVSNA_ADD_HL_COLUMN_MARKER">'ГВС. Т-гор.вода'!$T$34</definedName>
    <definedName name="HOTVSNA_TARIFF_A_HOTVSNA_DEL_HL_DATA_DIFF_COLUMN_MARKER">'ГВС. Т-гор.вода'!$R$34</definedName>
    <definedName name="HOTVSNA_TARIFF_A_HOTVSNA_DEL_HL_FLAG_DIFF_COLUMN_MARKER">'ГВС. Т-гор.вода'!$P$34</definedName>
    <definedName name="HOTVSNA_TARIFF_A_HOTVSNA_DEL_HL_GC_COLUMN_MARKER">'ГВС. Т-гор.вода'!$Q$34</definedName>
    <definedName name="HOTVSNA_TARIFF_A_HOTVSNA_DELETE_PERIOD_ROW_MARKER">'ГВС. Т-гор.вода'!$O$35</definedName>
    <definedName name="HOTVSNA_TARIFF_A_HOTVSNA_FLAG_BLOCK_COLUMN_MARKER">'ГВС. Т-гор.вода'!$L$36</definedName>
    <definedName name="HOTVSNA_TARIFF_A_HOTVSNA_FLAG_BLOCK_ROW_MARKER">'ГВС. Т-гор.вода'!$O$20</definedName>
    <definedName name="HOTVSNA_TARIFF_A_HOTVSNA_NUM_CS_COLUMN_MARKER">'ГВС. Т-гор.вода'!$G$36</definedName>
    <definedName name="HOTVSNA_TARIFF_A_HOTVSNA_NUM_DATA_DIFF_COLUMN_MARKER">'ГВС. Т-гор.вода'!$K$36</definedName>
    <definedName name="HOTVSNA_TARIFF_A_HOTVSNA_NUM_FLAG_DIFF_COLUMN_MARKER">'ГВС. Т-гор.вода'!$I$36</definedName>
    <definedName name="HOTVSNA_TARIFF_A_HOTVSNA_NUM_GC_COLUMN_MARKER">'ГВС. Т-гор.вода'!$J$36</definedName>
    <definedName name="HOTVSNA_TARIFF_A_HOTVSNA_NUM_NTAR_COLUMN_MARKER">'ГВС. Т-гор.вода'!$E$36</definedName>
    <definedName name="HOTVSNA_TARIFF_A_HOTVSNA_NUM_TER_COLUMN_MARKER">'ГВС. Т-гор.вода'!$F$36</definedName>
    <definedName name="HOTVSNA_TARIFF_B_HOTVSNA_ADD_HL_COLUMN_MARKER">'ГВС. Т-транс'!$T$34</definedName>
    <definedName name="HOTVSNA_TARIFF_B_HOTVSNA_DEL_HL_DATA_DIFF_COLUMN_MARKER">'ГВС. Т-транс'!$R$34</definedName>
    <definedName name="HOTVSNA_TARIFF_B_HOTVSNA_DEL_HL_FLAG_DIFF_COLUMN_MARKER">'ГВС. Т-транс'!$P$34</definedName>
    <definedName name="HOTVSNA_TARIFF_B_HOTVSNA_DEL_HL_GC_COLUMN_MARKER">'ГВС. Т-транс'!$Q$34</definedName>
    <definedName name="HOTVSNA_TARIFF_B_HOTVSNA_DELETE_PERIOD_ROW_MARKER">'ГВС. Т-транс'!$O$35</definedName>
    <definedName name="HOTVSNA_TARIFF_B_HOTVSNA_FLAG_BLOCK_COLUMN_MARKER">'ГВС. Т-транс'!$L$36</definedName>
    <definedName name="HOTVSNA_TARIFF_B_HOTVSNA_FLAG_BLOCK_ROW_MARKER">'ГВС. Т-транс'!$O$20</definedName>
    <definedName name="HOTVSNA_TARIFF_B_HOTVSNA_NUM_CS_COLUMN_MARKER">'ГВС. Т-транс'!$G$36</definedName>
    <definedName name="HOTVSNA_TARIFF_B_HOTVSNA_NUM_DATA_DIFF_COLUMN_MARKER">'ГВС. Т-транс'!$K$36</definedName>
    <definedName name="HOTVSNA_TARIFF_B_HOTVSNA_NUM_FLAG_DIFF_COLUMN_MARKER">'ГВС. Т-транс'!$I$36</definedName>
    <definedName name="HOTVSNA_TARIFF_B_HOTVSNA_NUM_GC_COLUMN_MARKER">'ГВС. Т-транс'!$J$36</definedName>
    <definedName name="HOTVSNA_TARIFF_B_HOTVSNA_NUM_NTAR_COLUMN_MARKER">'ГВС. Т-транс'!$E$36</definedName>
    <definedName name="HOTVSNA_TARIFF_B_HOTVSNA_NUM_TER_COLUMN_MARKER">'ГВС. Т-транс'!$F$36</definedName>
    <definedName name="HOTVSNA_TARIFF_C_HOTVSNA_ADD_HL_COLUMN_MARKER">'ГВС. Т-подкл'!$T$38</definedName>
    <definedName name="HOTVSNA_TARIFF_C_HOTVSNA_ADD_HL_DIAMETERS_COLUMN_MARKER">'ГВС. Т-подкл'!$AK$38</definedName>
    <definedName name="HOTVSNA_TARIFF_C_HOTVSNA_ADD_HL_LEN_COLUMN_MARKER">'ГВС. Т-подкл'!$AO$38</definedName>
    <definedName name="HOTVSNA_TARIFF_C_HOTVSNA_ADD_HL_LOAD_COLUMN_MARKER">'ГВС. Т-подкл'!$AG$38</definedName>
    <definedName name="HOTVSNA_TARIFF_C_HOTVSNA_ADD_HL_NETS_COLUMN_MARKER">'ГВС. Т-подкл'!$AS$38</definedName>
    <definedName name="HOTVSNA_TARIFF_C_HOTVSNA_DEL_HL_DATA_DIFF_COLUMN_MARKER">'ГВС. Т-подкл'!$R$38</definedName>
    <definedName name="HOTVSNA_TARIFF_C_HOTVSNA_DEL_HL_DIAMETERS_COLUMN_MARKER">'ГВС. Т-подкл'!$AI$38</definedName>
    <definedName name="HOTVSNA_TARIFF_C_HOTVSNA_DEL_HL_FLAG_DIFF_COLUMN_MARKER">'ГВС. Т-подкл'!$P$38</definedName>
    <definedName name="HOTVSNA_TARIFF_C_HOTVSNA_DEL_HL_GC_COLUMN_MARKER">'ГВС. Т-подкл'!$Q$38</definedName>
    <definedName name="HOTVSNA_TARIFF_C_HOTVSNA_DEL_HL_LEN_COLUMN_MARKER">'ГВС. Т-подкл'!$AM$38</definedName>
    <definedName name="HOTVSNA_TARIFF_C_HOTVSNA_DEL_HL_LOAD_COLUMN_MARKER">'ГВС. Т-подкл'!$AE$38</definedName>
    <definedName name="HOTVSNA_TARIFF_C_HOTVSNA_DEL_HL_NETS_COLUMN_MARKER">'ГВС. Т-подкл'!$AQ$38</definedName>
    <definedName name="HOTVSNA_TARIFF_C_HOTVSNA_DELETE_PERIOD_ROW_MARKER">'ГВС. Т-подкл'!$O$39</definedName>
    <definedName name="HOTVSNA_TARIFF_C_HOTVSNA_FLAG_BLOCK_COLUMN_MARKER">'ГВС. Т-подкл'!$L$44</definedName>
    <definedName name="HOTVSNA_TARIFF_C_HOTVSNA_FLAG_BLOCK_ROW_MARKER">'ГВС. Т-подкл'!$O$24</definedName>
    <definedName name="HOTVSNA_TARIFF_C_HOTVSNA_NUM_CS_COLUMN_MARKER">'ГВС. Т-подкл'!$G$44</definedName>
    <definedName name="HOTVSNA_TARIFF_C_HOTVSNA_NUM_DATA_DIFF_COLUMN_MARKER">'ГВС. Т-подкл'!$K$44</definedName>
    <definedName name="HOTVSNA_TARIFF_C_HOTVSNA_NUM_DIAMETERS_COLUMN_MARKER">'ГВС. Т-подкл'!$AJ$38</definedName>
    <definedName name="HOTVSNA_TARIFF_C_HOTVSNA_NUM_FLAG_DIFF_COLUMN_MARKER">'ГВС. Т-подкл'!$I$44</definedName>
    <definedName name="HOTVSNA_TARIFF_C_HOTVSNA_NUM_GC_COLUMN_MARKER">'ГВС. Т-подкл'!$J$44</definedName>
    <definedName name="HOTVSNA_TARIFF_C_HOTVSNA_NUM_LEN_COLUMN_MARKER">'ГВС. Т-подкл'!$AN$38</definedName>
    <definedName name="HOTVSNA_TARIFF_C_HOTVSNA_NUM_LOAD_COLUMN_MARKER">'ГВС. Т-подкл'!$AF$38</definedName>
    <definedName name="HOTVSNA_TARIFF_C_HOTVSNA_NUM_NETS_COLUMN_MARKER">'ГВС. Т-подкл'!$AR$38</definedName>
    <definedName name="HOTVSNA_TARIFF_C_HOTVSNA_NUM_NTAR_COLUMN_MARKER">'ГВС. Т-подкл'!$E$44</definedName>
    <definedName name="HOTVSNA_TARIFF_C_HOTVSNA_NUM_TER_COLUMN_MARKER">'ГВС. Т-подкл'!$F$44</definedName>
    <definedName name="Info_Diff">modInfo!$B$28</definedName>
    <definedName name="Info_Diff1">modInfo!$B$30</definedName>
    <definedName name="Info_FilFlag">modInfo!$B$1</definedName>
    <definedName name="Info_ForMOInListMO">modInfo!$B$18</definedName>
    <definedName name="Info_ForMRInListMO">modInfo!$B$17</definedName>
    <definedName name="Info_ForSKIInListMO">modInfo!$B$19</definedName>
    <definedName name="Info_ForSKINumberInListMO">modInfo!$B$20</definedName>
    <definedName name="Info_NoteStandarts">modInfo!$B$22</definedName>
    <definedName name="Info_NoUpdates">modInfo!$B$36</definedName>
    <definedName name="Info_PeriodInTitle">modInfo!$B$4</definedName>
    <definedName name="Info_PrDiff">modInfo!$B$29</definedName>
    <definedName name="Info_PublicationNotDisclosed">modInfo!$B$15</definedName>
    <definedName name="Info_PublicationPdf">modInfo!$B$14</definedName>
    <definedName name="Info_PublicationWeb">modInfo!$B$13</definedName>
    <definedName name="Info_T_Podkl">modInfo!$B$24</definedName>
    <definedName name="Info_TarName">modInfo!$B$27</definedName>
    <definedName name="Info_TerExcludeHelp_1">modInfo!$B$33</definedName>
    <definedName name="Info_TerExcludeHelp_2">modInfo!$B$34</definedName>
    <definedName name="Info_TitleFil">modInfo!$B$11</definedName>
    <definedName name="Info_TitleFlagCrossSubsidization">modInfo!$B$8</definedName>
    <definedName name="Info_TitleFlagIstPubl">modInfo!$B$9</definedName>
    <definedName name="Info_TitleFlagTwoPartTariff">modInfo!$B$7</definedName>
    <definedName name="Info_TitleGroupRates">modInfo!$B$5</definedName>
    <definedName name="Info_TitleKindPublication">modInfo!$B$3</definedName>
    <definedName name="Info_TitleKindsOfGoods">modInfo!$B$6</definedName>
    <definedName name="Info_TitlePublication">modInfo!$B$2</definedName>
    <definedName name="Info_TitleType">modInfo!$B$10</definedName>
    <definedName name="inn">Титульный!$F$33</definedName>
    <definedName name="IP_CLAIM_LIST">TEHSHEET!$AZ$20:$AZ$26</definedName>
    <definedName name="IP_DETAILED_ADD_HL_EVENT_COLUMN_MARKER">'ИП. Детализация'!$I$7</definedName>
    <definedName name="IP_DETAILED_ADD_HL_IST_FIN_COLUMN_MARKER">'ИП. Детализация'!$AB$7</definedName>
    <definedName name="IP_DETAILED_ADD_HL_OBJECT_COLUMN_MARKER">'ИП. Детализация'!$P$7</definedName>
    <definedName name="IP_DETAILED_DATA_KS">'ИП. Детализация'!$M$7</definedName>
    <definedName name="IP_DETAILED_EVENT_MARKER">'ИП. Детализация'!$K$7:$Y$7</definedName>
    <definedName name="IP_DETAILED_EVENT_SUBGROUP_COLUMN_MARKER">'ИП. Детализация'!$J$7</definedName>
    <definedName name="IP_DETAILED_EVENT_SUBGROUP_RANGE_COLUMN_MARKER">'ИП. Детализация'!$B$7</definedName>
    <definedName name="IP_DETAILED_FLAG_KS">'ИП. Детализация'!$L$7</definedName>
    <definedName name="IP_DETAILED_FLAG_OBJECT">'ИП. Детализация'!$P$13</definedName>
    <definedName name="IP_DETAILED_GROUP_MARKER">'ИП. Детализация'!$I$7:$J$7</definedName>
    <definedName name="IP_DETAILED_IST_FIN_FACT_COLUMN_MARKER">'ИП. Детализация'!$AD$7</definedName>
    <definedName name="IP_DETAILED_LIST_IP_ID">'ИП. Детализация'!$A$14:$A$14</definedName>
    <definedName name="IP_DETAILED_MONTH_FACT_COLUMN_MARKER">'ИП. Детализация'!$AJ$7</definedName>
    <definedName name="IP_DETAILED_MONTH_PLAN_COLUMN_MARKER">'ИП. Детализация'!$AG$7</definedName>
    <definedName name="IP_DETAILED_NAME_EVENT_COLUMN_MARKER">'ИП. Детализация'!$K$7</definedName>
    <definedName name="IP_DETAILED_YEAR_FACT_COLUMN_MARKER">'ИП. Детализация'!$AK$7</definedName>
    <definedName name="IP_DETAILED_YEAR_PLAN_COLUMN_MARKER">'ИП. Детализация'!$AH$7</definedName>
    <definedName name="IP_FIN_PLAN_LIST_ID_MARKER_ROW">'ИП. Финансовый план'!$E$8</definedName>
    <definedName name="IP_FIN_PLAN_NAME_IP_MARKER_ROW">'ИП. Финансовый план'!$E$11</definedName>
    <definedName name="IP_FIN_PLAN_YEAR_MARKER_ROW">'ИП. Финансовый план'!$E$12</definedName>
    <definedName name="IP_ID">TEHSHEET!$E$58</definedName>
    <definedName name="IP_MAIN_ADD_HL_PROPERTY_COLUMN_MARKER">ИП!$AB$7</definedName>
    <definedName name="IP_MAIN_APPROVAL_DATE">ИП!$I$11:$I$13</definedName>
    <definedName name="IP_MAIN_CHANGE_DATE">ИП!$J$11:$J$13</definedName>
    <definedName name="IP_MAIN_CLAIM">ИП!$K$11:$K$13</definedName>
    <definedName name="IP_MAIN_DATE_PARKING">ИП!$L$5</definedName>
    <definedName name="IP_MAIN_DELETE_HL_COLUMN_MARKER">ИП!$E$7</definedName>
    <definedName name="IP_MAIN_DIFFERENTIATION_EVENTS_FLAG">ИП!$H$11:$H$13</definedName>
    <definedName name="IP_MAIN_END_DATE">ИП!$O$11:$O$13</definedName>
    <definedName name="IP_MAIN_FLAG_KS">ИП!$Y$11:$Y$13</definedName>
    <definedName name="IP_MAIN_FLAG_KS_COLUMN_MARKER">ИП!$Y$7</definedName>
    <definedName name="IP_MAIN_IP_FIN_PLAN_VISIBLE_FLAG">ИП!$H$15</definedName>
    <definedName name="IP_MAIN_LIST_IP_ID">ИП!$AD$11:$AD$13</definedName>
    <definedName name="IP_MAIN_LIST_NAME_IP">ИП!$G$11:$G$13</definedName>
    <definedName name="IP_MAIN_PERIOD_REALIZ_DATE">ИП!$P$11:$P$13</definedName>
    <definedName name="IP_MAIN_PR_IP_CHANGE_DATE">ИП!$X$11:$X$13</definedName>
    <definedName name="IP_MAIN_PR_IP_DATE">ИП!$T$11:$T$13</definedName>
    <definedName name="IP_MAIN_PR_IP_NAME">ИП!$Q$11:$Q$13</definedName>
    <definedName name="IP_MAIN_PR_IP_NUMBER">ИП!$S$11:$S$13</definedName>
    <definedName name="IP_MAIN_PR_IP_TYPE">ИП!$R$11:$R$13</definedName>
    <definedName name="IP_MAIN_START_DATE">ИП!$N$11:$N$13</definedName>
    <definedName name="IP_NAME_FORM">DATA_FORMS!$C$32</definedName>
    <definedName name="IP_QRE_ADD_HL_CLAIM_COLUMN_MARKER">'ИП. КНЭ'!$G$7</definedName>
    <definedName name="IP_QRE_ADD_HL_COLUMN_MARKER">'ИП. КНЭ'!$G$8</definedName>
    <definedName name="IP_QRE_DELETE_HL_COLUMN_MARKER">'ИП. КНЭ'!$E$8</definedName>
    <definedName name="IP_QRE_LIST_IP_ID">'ИП. КНЭ'!$A$18:$A$20</definedName>
    <definedName name="IP_QRE_NUM_COLUMN_MARKER">'ИП. КНЭ'!$F$8</definedName>
    <definedName name="IP_QRE_OTKO_FEATURES_BLOCK">'ИП. КНЭ'!$DY$8</definedName>
    <definedName name="IP_QRE_VOTV_FEATURES_BLOCK">'ИП. КНЭ'!$CY$8:$DX$8</definedName>
    <definedName name="IP_QRE_VSNA_FEATURES_BLOCK">'ИП. КНЭ'!$BT$8:$CX$8</definedName>
    <definedName name="IP_QRE_WARM_FEATURES_BLOCK">'ИП. КНЭ'!$O$8:$BS$8</definedName>
    <definedName name="IST_TE_ID">TEHSHEET!$E$64</definedName>
    <definedName name="kind_group_rates">TEHSHEET!$X$2:$X$14</definedName>
    <definedName name="kind_group_rates_load">TEHSHEET!$AP$2:$AP$11</definedName>
    <definedName name="kind_group_rates_load_ETS">TEHSHEET!$AP$2:$AP$11</definedName>
    <definedName name="kind_group_rates_load_filter">TEHSHEET!$AQ$2:$AQ$11</definedName>
    <definedName name="kind_group_rates_load_filter_ETS">TEHSHEET!$AQ$2:$AQ$11</definedName>
    <definedName name="kind_of_activity_WARM">TEHSHEET!$N$2:$N$8</definedName>
    <definedName name="kind_of_cons">TEHSHEET!$R$2:$R$6</definedName>
    <definedName name="kind_of_control_method">TEHSHEET!$K$2:$K$5</definedName>
    <definedName name="kind_of_control_method_filter">TEHSHEET!$L$2:$L$5</definedName>
    <definedName name="kind_of_data_type">TEHSHEET!$P$2:$P$3</definedName>
    <definedName name="kind_of_diameters">TEHSHEET!$T$2:$T$6</definedName>
    <definedName name="kind_of_diameters2">TEHSHEET!$AU$2:$AU$8</definedName>
    <definedName name="kind_of_diff">TEHSHEET!$AS$2:$AS$4</definedName>
    <definedName name="kind_of_fuel">TEHSHEET!$AK$2:$AK$9</definedName>
    <definedName name="kind_of_fuels">TEHSHEET!$BB$2:$BB$29</definedName>
    <definedName name="kind_of_heat_transfer">TEHSHEET!$O$2:$O$12</definedName>
    <definedName name="kind_of_heat_transfer2">TEHSHEET!$AH$2:$AH$7</definedName>
    <definedName name="kind_of_heat_transfer3">TEHSHEET!$AI$2:$AI$3</definedName>
    <definedName name="kind_of_load">TEHSHEET!$U$2:$U$7</definedName>
    <definedName name="kind_of_load2">TEHSHEET!$U$2:$U$4</definedName>
    <definedName name="kind_of_load3">TEHSHEET!$AF$2:$AF$5</definedName>
    <definedName name="kind_of_load4">TEHSHEET!$U$2:$U$5</definedName>
    <definedName name="kind_of_NDS">TEHSHEET!$H$2:$H$8</definedName>
    <definedName name="kind_of_NDS_tariff">TEHSHEET!$H$10:$H$11</definedName>
    <definedName name="kind_of_NDS_tariff_people">TEHSHEET!$H$16:$H$17</definedName>
    <definedName name="kind_of_nets">TEHSHEET!$S$2:$S$4</definedName>
    <definedName name="kind_of_org_type">TEHSHEET!$AZ$2:$AZ$5</definedName>
    <definedName name="kind_of_power_te_unit">TEHSHEET!$J$11:$J$12</definedName>
    <definedName name="kind_of_publication">TEHSHEET!$G$2:$G$3</definedName>
    <definedName name="kind_of_purchase_method">TEHSHEET!$K$11:$K$13</definedName>
    <definedName name="kind_of_scheme_in">TEHSHEET!$Q$2:$Q$5</definedName>
    <definedName name="kind_of_scheme_in2">TEHSHEET!$Q$3:$Q$5</definedName>
    <definedName name="kind_of_tariff_RHEAT">TEHSHEET!$E$19:$E$20</definedName>
    <definedName name="kind_of_tariff_unit">TEHSHEET!$J$7:$J$8</definedName>
    <definedName name="kind_of_unit">TEHSHEET!$J$2:$J$4</definedName>
    <definedName name="kind_of_volume_te_unit">TEHSHEET!$J$15:$J$16</definedName>
    <definedName name="kind_of_zak">TEHSHEET!$AM$2:$AM$7</definedName>
    <definedName name="KNE_NAME_FORM">DATA_FORMS!$C$8</definedName>
    <definedName name="kpp">Титульный!$F$34</definedName>
    <definedName name="LINK_RANGE">REESTR_LINK!$B$2:$B$3</definedName>
    <definedName name="List_H">TEHSHEET!$AW$2:$AW$25</definedName>
    <definedName name="List_M">TEHSHEET!$AX$2:$AX$61</definedName>
    <definedName name="LIST_MR_MO_OKTMO">REESTR_MO!$A$2:$D$709</definedName>
    <definedName name="LIST_MR_MO_OKTMO_FILTER">REESTR_MO_FILTER!$A$2:$D$708</definedName>
    <definedName name="ListForms">modSheetMain!$A:$A</definedName>
    <definedName name="logical">TEHSHEET!$D$2:$D$3</definedName>
    <definedName name="MONTH">TEHSHEET!$E$2:$E$13</definedName>
    <definedName name="MONTH_IP_LIST">TEHSHEET!$BF$2:$BF$13</definedName>
    <definedName name="nalog">Титульный!$F$37</definedName>
    <definedName name="name_rates_4">TEHSHEET!$AA$2:$AA$3</definedName>
    <definedName name="name_rates_4_filter">TEHSHEET!$AB$2:$AB$3</definedName>
    <definedName name="name_rates_8">TEHSHEET!$AC$2:$AC$4</definedName>
    <definedName name="name_rates_8_filter">TEHSHEET!$AD$2:$AD$4</definedName>
    <definedName name="NameTemplatesInListMO">TEHSHEET!$K$45</definedName>
    <definedName name="NameTemplatesInTitle">TEHSHEET!$J$45</definedName>
    <definedName name="NameTemplatesInTitleList">TEHSHEET!$J$46:$J$53</definedName>
    <definedName name="NTAR_ID">TEHSHEET!$E$61</definedName>
    <definedName name="OFFER_DPR">Предложение!$L$87</definedName>
    <definedName name="OFFER_METHOD">Предложение!$K$24:$K$85</definedName>
    <definedName name="OFFER_METHOD_FLAG">TEHSHEET!$L$6</definedName>
    <definedName name="OFFER_TARIFF_A_1">Предложение!$24:$26</definedName>
    <definedName name="OFFER_TARIFF_A_2">Предложение!$89:$91</definedName>
    <definedName name="OFFER_TARIFF_A_3">Предложение!$152:$154</definedName>
    <definedName name="OFFER_TARIFF_A_4">Предложение!$215:$217</definedName>
    <definedName name="OFFER_TARIFF_A_5">Предложение!$278:$280</definedName>
    <definedName name="OFFER_TARIFF_A_COLDVSNA_1">Предложение!$53:$55</definedName>
    <definedName name="OFFER_TARIFF_A_COLDVSNA_2">Предложение!$118:$120</definedName>
    <definedName name="OFFER_TARIFF_A_COLDVSNA_3">Предложение!$181:$183</definedName>
    <definedName name="OFFER_TARIFF_A_COLDVSNA_4">Предложение!$244:$246</definedName>
    <definedName name="OFFER_TARIFF_A_COLDVSNA_5">Предложение!$307:$309</definedName>
    <definedName name="OFFER_TARIFF_A_HOTVSNA_1">Предложение!$68:$70</definedName>
    <definedName name="OFFER_TARIFF_A_HOTVSNA_2">Предложение!$133:$135</definedName>
    <definedName name="OFFER_TARIFF_A_HOTVSNA_3">Предложение!$196:$198</definedName>
    <definedName name="OFFER_TARIFF_A_HOTVSNA_4">Предложение!$259:$261</definedName>
    <definedName name="OFFER_TARIFF_A_HOTVSNA_5">Предложение!$322:$324</definedName>
    <definedName name="OFFER_TARIFF_A_VOTV_1">Предложение!$77:$79</definedName>
    <definedName name="OFFER_TARIFF_A_VOTV_2">Предложение!$142:$144</definedName>
    <definedName name="OFFER_TARIFF_A_VOTV_3">Предложение!$205:$207</definedName>
    <definedName name="OFFER_TARIFF_A_VOTV_4">Предложение!$268:$270</definedName>
    <definedName name="OFFER_TARIFF_A_VOTV_5">Предложение!$331:$333</definedName>
    <definedName name="OFFER_TARIFF_B_1">Предложение!$27:$31</definedName>
    <definedName name="OFFER_TARIFF_B_2">Предложение!$92:$96</definedName>
    <definedName name="OFFER_TARIFF_B_3">Предложение!$155:$159</definedName>
    <definedName name="OFFER_TARIFF_B_4">Предложение!$218:$222</definedName>
    <definedName name="OFFER_TARIFF_B_5">Предложение!$281:$285</definedName>
    <definedName name="OFFER_TARIFF_B_COLDVSNA_1">Предложение!$56:$58</definedName>
    <definedName name="OFFER_TARIFF_B_COLDVSNA_2">Предложение!$121:$123</definedName>
    <definedName name="OFFER_TARIFF_B_COLDVSNA_3">Предложение!$184:$186</definedName>
    <definedName name="OFFER_TARIFF_B_COLDVSNA_4">Предложение!$247:$249</definedName>
    <definedName name="OFFER_TARIFF_B_COLDVSNA_5">Предложение!$310:$312</definedName>
    <definedName name="OFFER_TARIFF_B_HOTVSNA_1">Предложение!$71:$73</definedName>
    <definedName name="OFFER_TARIFF_B_HOTVSNA_2">Предложение!$136:$138</definedName>
    <definedName name="OFFER_TARIFF_B_HOTVSNA_3">Предложение!$199:$201</definedName>
    <definedName name="OFFER_TARIFF_B_HOTVSNA_4">Предложение!$262:$264</definedName>
    <definedName name="OFFER_TARIFF_B_HOTVSNA_5">Предложение!$325:$327</definedName>
    <definedName name="OFFER_TARIFF_B_VOTV_1">Предложение!$80:$82</definedName>
    <definedName name="OFFER_TARIFF_B_VOTV_2">Предложение!$145:$147</definedName>
    <definedName name="OFFER_TARIFF_B_VOTV_3">Предложение!$208:$210</definedName>
    <definedName name="OFFER_TARIFF_B_VOTV_4">Предложение!$271:$273</definedName>
    <definedName name="OFFER_TARIFF_B_VOTV_5">Предложение!$334:$336</definedName>
    <definedName name="OFFER_TARIFF_C_1">Предложение!$32:$34</definedName>
    <definedName name="OFFER_TARIFF_C_2">Предложение!$97:$99</definedName>
    <definedName name="OFFER_TARIFF_C_3">Предложение!$160:$162</definedName>
    <definedName name="OFFER_TARIFF_C_4">Предложение!$223:$225</definedName>
    <definedName name="OFFER_TARIFF_C_5">Предложение!$286:$288</definedName>
    <definedName name="OFFER_TARIFF_C_COLDVSNA_1">Предложение!$59:$61</definedName>
    <definedName name="OFFER_TARIFF_C_COLDVSNA_2">Предложение!$124:$126</definedName>
    <definedName name="OFFER_TARIFF_C_COLDVSNA_3">Предложение!$187:$189</definedName>
    <definedName name="OFFER_TARIFF_C_COLDVSNA_4">Предложение!$250:$252</definedName>
    <definedName name="OFFER_TARIFF_C_COLDVSNA_5">Предложение!$313:$315</definedName>
    <definedName name="OFFER_TARIFF_C_HOTVSNA_1">Предложение!$74:$76</definedName>
    <definedName name="OFFER_TARIFF_C_HOTVSNA_2">Предложение!$139:$141</definedName>
    <definedName name="OFFER_TARIFF_C_HOTVSNA_3">Предложение!$202:$204</definedName>
    <definedName name="OFFER_TARIFF_C_HOTVSNA_4">Предложение!$265:$267</definedName>
    <definedName name="OFFER_TARIFF_C_HOTVSNA_5">Предложение!$328:$330</definedName>
    <definedName name="OFFER_TARIFF_C_VOTV_1">Предложение!$83:$85</definedName>
    <definedName name="OFFER_TARIFF_C_VOTV_2">Предложение!$148:$150</definedName>
    <definedName name="OFFER_TARIFF_C_VOTV_3">Предложение!$211:$213</definedName>
    <definedName name="OFFER_TARIFF_C_VOTV_4">Предложение!$274:$276</definedName>
    <definedName name="OFFER_TARIFF_C_VOTV_5">Предложение!$337:$339</definedName>
    <definedName name="OFFER_TARIFF_D_1">Предложение!$35:$37</definedName>
    <definedName name="OFFER_TARIFF_D_2">Предложение!$100:$102</definedName>
    <definedName name="OFFER_TARIFF_D_3">Предложение!$163:$165</definedName>
    <definedName name="OFFER_TARIFF_D_4">Предложение!$226:$228</definedName>
    <definedName name="OFFER_TARIFF_D_5">Предложение!$289:$291</definedName>
    <definedName name="OFFER_TARIFF_D_COLDVSNA_1">Предложение!$62:$64</definedName>
    <definedName name="OFFER_TARIFF_D_COLDVSNA_2">Предложение!$127:$129</definedName>
    <definedName name="OFFER_TARIFF_D_COLDVSNA_3">Предложение!$190:$192</definedName>
    <definedName name="OFFER_TARIFF_D_COLDVSNA_4">Предложение!$253:$255</definedName>
    <definedName name="OFFER_TARIFF_D_COLDVSNA_5">Предложение!$316:$318</definedName>
    <definedName name="OFFER_TARIFF_E_COLDVSNA_1">Предложение!$65:$67</definedName>
    <definedName name="OFFER_TARIFF_E_COLDVSNA_2">Предложение!$130:$132</definedName>
    <definedName name="OFFER_TARIFF_E_COLDVSNA_3">Предложение!$193:$195</definedName>
    <definedName name="OFFER_TARIFF_E_COLDVSNA_4">Предложение!$256:$258</definedName>
    <definedName name="OFFER_TARIFF_E_COLDVSNA_5">Предложение!$319:$321</definedName>
    <definedName name="OFFER_TARIFF_E1_1">Предложение!$38:$40</definedName>
    <definedName name="OFFER_TARIFF_E1_2">Предложение!$103:$105</definedName>
    <definedName name="OFFER_TARIFF_E1_3">Предложение!$166:$168</definedName>
    <definedName name="OFFER_TARIFF_E1_4">Предложение!$229:$231</definedName>
    <definedName name="OFFER_TARIFF_E1_5">Предложение!$292:$294</definedName>
    <definedName name="OFFER_TARIFF_E2_1">Предложение!$41:$43</definedName>
    <definedName name="OFFER_TARIFF_E2_2">Предложение!$106:$108</definedName>
    <definedName name="OFFER_TARIFF_E2_3">Предложение!$169:$171</definedName>
    <definedName name="OFFER_TARIFF_E2_4">Предложение!$232:$234</definedName>
    <definedName name="OFFER_TARIFF_E2_5">Предложение!$295:$297</definedName>
    <definedName name="OFFER_TARIFF_F_1">Предложение!$44:$46</definedName>
    <definedName name="OFFER_TARIFF_F_2">Предложение!$109:$111</definedName>
    <definedName name="OFFER_TARIFF_F_3">Предложение!$172:$174</definedName>
    <definedName name="OFFER_TARIFF_F_4">Предложение!$235:$237</definedName>
    <definedName name="OFFER_TARIFF_F_5">Предложение!$298:$300</definedName>
    <definedName name="OFFER_TARIFF_G_1">Предложение!$47:$49</definedName>
    <definedName name="OFFER_TARIFF_G_2">Предложение!$112:$114</definedName>
    <definedName name="OFFER_TARIFF_G_3">Предложение!$175:$177</definedName>
    <definedName name="OFFER_TARIFF_G_4">Предложение!$238:$240</definedName>
    <definedName name="OFFER_TARIFF_G_5">Предложение!$301:$303</definedName>
    <definedName name="OFFER_TARIFF_H_1">Предложение!$50:$52</definedName>
    <definedName name="org">Титульный!$F$31</definedName>
    <definedName name="Org_Address">Титульный!$F$64:$F$64</definedName>
    <definedName name="ORG_END_DATE">TEHSHEET!$F$29</definedName>
    <definedName name="ORG_INFO_DATE_OGRN">'Общая информация об организации'!$F$17</definedName>
    <definedName name="ORG_INFO_DATE_PARKING">'Общая информация об организации'!$G$4</definedName>
    <definedName name="ORG_INFO_DATE_UNI_TS">'Общая информация об организации'!$F$21</definedName>
    <definedName name="ORG_INFO_EMAIL">'Общая информация об организации'!$F$44</definedName>
    <definedName name="ORG_INFO_ET">'Общая информация об организации'!$F$20:$F$24</definedName>
    <definedName name="ORG_INFO_ET_CYAN">'Общая информация об организации'!$F$20:$F$23</definedName>
    <definedName name="ORG_INFO_FLAG_INVEST">'Общая информация об организации'!$F$51</definedName>
    <definedName name="ORG_INFO_NAME_FORM">DATA_FORMS!$C$4</definedName>
    <definedName name="ORG_INFO_P_NOTE_MAIN">DATA_NPA!$N$3</definedName>
    <definedName name="ORG_INFO_RESP_EMAIL">'Общая информация об организации'!$F$32</definedName>
    <definedName name="ORG_INFO_URL">'Общая информация об организации'!$F$43</definedName>
    <definedName name="Org_main">Титульный!$F$65</definedName>
    <definedName name="ORG_START_DATE">TEHSHEET!$E$29</definedName>
    <definedName name="ORG_TERRITORY_FIRST_MO">'Сведения по территориям'!$G$12</definedName>
    <definedName name="ORG_TERRITORY_FLAG_INTERNET">'Сведения по территориям'!$J$11:$J$13</definedName>
    <definedName name="ORG_TERRITORY_LINK">'Сведения по территориям'!$K$11:$K$13</definedName>
    <definedName name="ORG_TERRITORY_NAME_COL">'Сведения по территориям'!$G$1:$I$1</definedName>
    <definedName name="ORG_TERRITORY_POINT_NUMBER_1">'Сведения по территориям'!$A:$A</definedName>
    <definedName name="ORG_VD_EM">'Общая информация по ВД'!$K$11:$K$13</definedName>
    <definedName name="ORG_VD_FIRST_ROW">'Общая информация по ВД'!$12:$12</definedName>
    <definedName name="ORG_VD_FIRST_SYSTEM">'Общая информация по ВД'!$E$12</definedName>
    <definedName name="ORG_VD_NAME_FORM">DATA_FORMS!$C$31</definedName>
    <definedName name="ORG_VD_SYSTEM">'Общая информация по ВД'!$E$11:$E$13</definedName>
    <definedName name="ORG_VD_TKO_ADD_HL_ACTIVITY_COLUMN_MARKER">'Виды объектов'!$E$9</definedName>
    <definedName name="ORG_VD_TKO_ADD_HL_TYPE_OBJECT_COLUMN_MARKER">'Виды объектов'!$H$9</definedName>
    <definedName name="ORG_VD_TKO_DEL_HL_ACTIVITY_COLUMN_MARKER">'Виды объектов'!$C$9</definedName>
    <definedName name="ORG_VD_TKO_DEL_HL_TYPE_OBJECT_COLUMN_MARKER">'Виды объектов'!$F$9</definedName>
    <definedName name="ORG_VD_TKO_VD">'Виды объектов'!$E$13:$E$16</definedName>
    <definedName name="ORG_VD_TKO_VD_ID">'Виды объектов'!$O$13:$O$16</definedName>
    <definedName name="ORG_VD_VD">'Общая информация по ВД'!$F$11:$F$13</definedName>
    <definedName name="ORG_VD_VD_ID">'Общая информация по ВД'!$AM$11:$AM$13</definedName>
    <definedName name="OTKO_FIN_SRC_LIST">TEHSHEET!$BN$4:$BN$18</definedName>
    <definedName name="OTKO_FIN_SRC_VLD_LIST">TEHSHEET!$BN$39:$BN$48</definedName>
    <definedName name="OTKO_IP_EVENT_CI_STAGE_LIST">TEHSHEET!$BN$97:$BN$104</definedName>
    <definedName name="OTKO_IP_EVENT_GROUP_LIST">TEHSHEET!$BN$69:$BN$74</definedName>
    <definedName name="OTKO_IP_EVENT_TYPE_LIST">TEHSHEET!$BN$108</definedName>
    <definedName name="otv_lico_name">Титульный!$F$67:$F$70</definedName>
    <definedName name="P_T_TERMS_LINK">Договоры!$F$12:$F$22</definedName>
    <definedName name="pCng_P_T_TERMS_1">Договоры!$E$14:$E$15</definedName>
    <definedName name="pCng_P_T_TERMS_2">Договоры!$E$17:$E$18</definedName>
    <definedName name="pCng_P_T_TERMS_3">Договоры!$E$21:$E$22</definedName>
    <definedName name="pCng_P_T_TERMS_4">Договоры!$E$25:$E$26</definedName>
    <definedName name="pDel_B_STANDARTS">'Стандарты качества'!$H$12:$H$13</definedName>
    <definedName name="pDel_CHANGE_INFO">'Сведения об изменении'!$C$12:$C$13</definedName>
    <definedName name="pDel_Comm">Комментарии!$C$11:$C$12</definedName>
    <definedName name="pDel_DIFFERENTIATION_AREA">Дифференциация!$G$12:$G$16</definedName>
    <definedName name="pDel_DIFFERENTIATION_SYSTEM">Дифференциация!$K$12:$K$16</definedName>
    <definedName name="pDel_DIFFERENTIATION_VD">Дифференциация!$C$12:$C$16</definedName>
    <definedName name="pDel_ED">ЭД!$C$12:$C$13</definedName>
    <definedName name="pDel_IP_DETAILED_EVENT">'ИП. Детализация'!$G$13</definedName>
    <definedName name="pDel_IP_DETAILED_IST_FIN">'ИП. Детализация'!$Z$13</definedName>
    <definedName name="pDel_IP_DETAILED_OBJECT">'ИП. Детализация'!$N$13</definedName>
    <definedName name="pDel_IP_MAIN">ИП!$E$11:$E$13</definedName>
    <definedName name="pDel_IP_MAIN_PROPERTY">ИП!$Z$11:$Z$13</definedName>
    <definedName name="pDel_IP_QRE_CLAIM">'ИП. КНЭ'!$E$18:$E$20</definedName>
    <definedName name="pDel_List07">'Сведения об изменении'!$C$11:$C$13</definedName>
    <definedName name="pDel_LT_AREA">'Список территорий'!$C$12:$C$17</definedName>
    <definedName name="pDel_LT_MO">'Список территорий'!$D$11:$D$17</definedName>
    <definedName name="pDel_ORG_INFO">'Общая информация об организации'!$C$40:$C$50</definedName>
    <definedName name="pDel_ORG_TERRITORY">'Сведения по территориям'!$D$11:$D$13</definedName>
    <definedName name="pDel_ORG_VD">'Общая информация по ВД'!$C$11:$C$13</definedName>
    <definedName name="pDel_P_PROCEDURE_TC">'Порядок ТП'!$C$26:$C$40</definedName>
    <definedName name="pDel_P_T_TERMS">Договоры!$C$14:$C$26</definedName>
    <definedName name="pDel_Q_LIMIT">Ограничения!$C$31</definedName>
    <definedName name="pDel_Q_TP">ТП!$C$14</definedName>
    <definedName name="pDel_R_B_Purch">'Сведения о закупках'!$C$13:$C$14</definedName>
    <definedName name="periodEnd">Титульный!$F$12</definedName>
    <definedName name="PeriodIsEmpty">TEHSHEET!$I$45</definedName>
    <definedName name="PeriodIsEmptyList">TEHSHEET!$I$46:$I$53</definedName>
    <definedName name="periodStart">Титульный!$F$11</definedName>
    <definedName name="pHeader_B_FHD">'Показатели ФХД'!$29:$29</definedName>
    <definedName name="pHeader_B_FHD_TKO">'ТКО. Показатели ФХД'!$14:$14</definedName>
    <definedName name="pHeader_B_FHD_TKO_TRANS">'ТКО. Транс. Показатели ФХД'!$14:$14</definedName>
    <definedName name="pHeader_B_KNE">'Показатели КНЭ'!$11:$11</definedName>
    <definedName name="pHeader_B_OTEP">'Показатели ОТЭП'!$14:$14</definedName>
    <definedName name="pHeader_Q_LIMIT">Ограничения!$30:$30</definedName>
    <definedName name="pHeader_Q_PH">'Потребительские характеристики'!$13:$13</definedName>
    <definedName name="pHeader_Q_TP">ТП!$13:$13</definedName>
    <definedName name="pHeader_ver_B_FHD">'Показатели ФХД'!$C:$C</definedName>
    <definedName name="pHeader_ver_B_FHD_TKO">'ТКО. Показатели ФХД'!$C:$C</definedName>
    <definedName name="pHeader_ver_B_FHD_TKO_TRANS">'ТКО. Транс. Показатели ФХД'!$C:$C</definedName>
    <definedName name="pHeader_ver_B_KNE">'Показатели КНЭ'!$B:$B</definedName>
    <definedName name="pHeader_ver_B_OTEP">'Показатели ОТЭП'!$G:$G</definedName>
    <definedName name="pHeader_ver_P_PROCEDURE_TC">'Порядок ТП'!$A$21:$A$40</definedName>
    <definedName name="pHeader_ver_Q_LIMIT">Ограничения!$E:$E</definedName>
    <definedName name="pIns_B_FHD_1">'Показатели ФХД'!$F$40</definedName>
    <definedName name="pIns_B_FHD_2">'Показатели ФХД'!$F$71</definedName>
    <definedName name="pIns_B_FHD_3">'Показатели ФХД'!$F$101</definedName>
    <definedName name="pIns_B_FHD_4">'Показатели ФХД'!$F$119</definedName>
    <definedName name="pIns_B_FHD_5">'Показатели ФХД'!$F$122</definedName>
    <definedName name="pIns_B_FHD_6">'Показатели ФХД'!$F$125</definedName>
    <definedName name="pIns_B_FHD_DIFFERENTIATION">'Показатели ФХД'!$J$24</definedName>
    <definedName name="pIns_B_FHD_TKO_2">'ТКО. Показатели ФХД'!$F$34</definedName>
    <definedName name="pIns_B_FHD_TKO_DIFFERENTIATION">'ТКО. Показатели ФХД'!$J$9</definedName>
    <definedName name="pIns_B_FHD_TKO_TRANS_2">'ТКО. Транс. Показатели ФХД'!$F$29</definedName>
    <definedName name="pIns_B_FHD_TKO_TRANS_DIFFERENTIATION">'ТКО. Транс. Показатели ФХД'!$J$9</definedName>
    <definedName name="pIns_B_FHD20_DIFFERENTIATION">'Показатели ФХД &gt;20%'!$D$23</definedName>
    <definedName name="pIns_B_KNE_DIFFERENTIATION">'Показатели КНЭ'!$K$6</definedName>
    <definedName name="pIns_B_OTEP_2">'Показатели ОТЭП'!$J$18</definedName>
    <definedName name="pIns_B_OTEP_DIFFERENTIATION">'Показатели ОТЭП'!$N$9</definedName>
    <definedName name="pIns_B_STANDARTS">'Стандарты качества'!$J$13</definedName>
    <definedName name="pIns_CHANGE_INFO">'Сведения об изменении'!$E$13</definedName>
    <definedName name="pIns_Comm">Комментарии!$E$12</definedName>
    <definedName name="pIns_ED">ЭД!$E$13</definedName>
    <definedName name="pIns_IP_DETAILED">'ИП. Детализация'!$F$14</definedName>
    <definedName name="pIns_IP_FIN_PLAN">'ИП. Финансовый план'!$K$8</definedName>
    <definedName name="pIns_IP_MAIN">ИП!$G$13</definedName>
    <definedName name="pIns_IP_QRE">'ИП. КНЭ'!$F$21</definedName>
    <definedName name="pIns_List07">'Сведения об изменении'!$E$13</definedName>
    <definedName name="pIns_LT_AREA">'Список территорий'!$G$17</definedName>
    <definedName name="pIns_ORG_INFO_1">'Общая информация об организации'!$E$42</definedName>
    <definedName name="pIns_ORG_INFO_2">'Общая информация об организации'!$E$50</definedName>
    <definedName name="pIns_ORG_INFO_3">'Общая информация об организации'!$E$24</definedName>
    <definedName name="pIns_ORG_TERRITORY">'Сведения по территориям'!$G$13</definedName>
    <definedName name="pIns_ORG_VD_1">'Общая информация по ВД'!$E$13</definedName>
    <definedName name="pIns_ORG_VD_2">'Общая информация по ВД'!$F$13</definedName>
    <definedName name="pIns_ORG_VD_TKO_1">'Виды объектов'!$E$16</definedName>
    <definedName name="pIns_P_PROCEDURE_TC_1">'Порядок ТП'!$E$27</definedName>
    <definedName name="pIns_P_PROCEDURE_TC_2">'Порядок ТП'!$E$30</definedName>
    <definedName name="pIns_P_PROCEDURE_TC_3">'Порядок ТП'!$E$34</definedName>
    <definedName name="pIns_P_PROCEDURE_TC_4">'Порядок ТП'!$E$37</definedName>
    <definedName name="pIns_P_PROCEDURE_TC_5">'Порядок ТП'!$E$40</definedName>
    <definedName name="pIns_P_T_TERMS_1">Договоры!$E$15</definedName>
    <definedName name="pIns_P_T_TERMS_2">Договоры!$E$18</definedName>
    <definedName name="pIns_P_T_TERMS_3">Договоры!$E$22</definedName>
    <definedName name="pIns_P_T_TERMS_4">Договоры!$E$26</definedName>
    <definedName name="pIns_PT_VTAR_A">'ТС. Т-ТЭ | &gt;=25МВт'!$T$57</definedName>
    <definedName name="pIns_PT_VTAR_A_COLDVSNA">'ХВС. Т-пит'!$T$53</definedName>
    <definedName name="pIns_PT_VTAR_A_COLDVSNA_OFFER_1">Предложение!$G$55</definedName>
    <definedName name="pIns_PT_VTAR_A_COLDVSNA_OFFER_2">Предложение!$G$120</definedName>
    <definedName name="pIns_PT_VTAR_A_COLDVSNA_OFFER_3">Предложение!$G$183</definedName>
    <definedName name="pIns_PT_VTAR_A_COLDVSNA_OFFER_4">Предложение!$G$246</definedName>
    <definedName name="pIns_PT_VTAR_A_COLDVSNA_OFFER_5">Предложение!$G$309</definedName>
    <definedName name="pIns_PT_VTAR_A_COLDVSNA_OFFER5">Предложение!$G$309</definedName>
    <definedName name="pIns_PT_VTAR_A_HOTVSNA">'ГВС. Т-гор.вода'!$T$54</definedName>
    <definedName name="pIns_PT_VTAR_A_HOTVSNA_OFFER_1">Предложение!$G$70</definedName>
    <definedName name="pIns_PT_VTAR_A_HOTVSNA_OFFER_2">Предложение!$G$135</definedName>
    <definedName name="pIns_PT_VTAR_A_HOTVSNA_OFFER_3">Предложение!$G$198</definedName>
    <definedName name="pIns_PT_VTAR_A_HOTVSNA_OFFER_4">Предложение!$G$261</definedName>
    <definedName name="pIns_PT_VTAR_A_HOTVSNA_OFFER_5">Предложение!$G$324</definedName>
    <definedName name="pIns_PT_VTAR_A_OFFER_1">Предложение!$G$26</definedName>
    <definedName name="pIns_PT_VTAR_A_OFFER_2">Предложение!$G$91</definedName>
    <definedName name="pIns_PT_VTAR_A_OFFER_3">Предложение!$G$154</definedName>
    <definedName name="pIns_PT_VTAR_A_OFFER_4">Предложение!$G$217</definedName>
    <definedName name="pIns_PT_VTAR_A_OFFER_5">Предложение!$G$280</definedName>
    <definedName name="pIns_PT_VTAR_A_VOTV">'ВО. Т-во'!$T$53</definedName>
    <definedName name="pIns_PT_VTAR_A_VOTV_OFFER_1">Предложение!$G$79</definedName>
    <definedName name="pIns_PT_VTAR_A_VOTV_OFFER_2">Предложение!$G$144</definedName>
    <definedName name="pIns_PT_VTAR_A_VOTV_OFFER_3">Предложение!$G$207</definedName>
    <definedName name="pIns_PT_VTAR_A_VOTV_OFFER_4">Предложение!$G$270</definedName>
    <definedName name="pIns_PT_VTAR_A_VOTV_OFFER_5">Предложение!$G$333</definedName>
    <definedName name="pIns_PT_VTAR_B">'ТС. Т-ТЭ | ТСО'!$T$79</definedName>
    <definedName name="pIns_PT_VTAR_B_COLDVSNA">'ХВС. Т-тех'!$T$53</definedName>
    <definedName name="pIns_PT_VTAR_B_COLDVSNA_OFFER_1">Предложение!$G$58</definedName>
    <definedName name="pIns_PT_VTAR_B_COLDVSNA_OFFER_2">Предложение!$G$123</definedName>
    <definedName name="pIns_PT_VTAR_B_COLDVSNA_OFFER_3">Предложение!$G$186</definedName>
    <definedName name="pIns_PT_VTAR_B_COLDVSNA_OFFER_4">Предложение!$G$249</definedName>
    <definedName name="pIns_PT_VTAR_B_COLDVSNA_OFFER_5">Предложение!$G$312</definedName>
    <definedName name="pIns_PT_VTAR_B_HOTVSNA">'ГВС. Т-транс'!$T$54</definedName>
    <definedName name="pIns_PT_VTAR_B_HOTVSNA_OFFER_1">Предложение!$G$73</definedName>
    <definedName name="pIns_PT_VTAR_B_HOTVSNA_OFFER_2">Предложение!$G$138</definedName>
    <definedName name="pIns_PT_VTAR_B_HOTVSNA_OFFER_3">Предложение!$G$201</definedName>
    <definedName name="pIns_PT_VTAR_B_HOTVSNA_OFFER_4">Предложение!$G$264</definedName>
    <definedName name="pIns_PT_VTAR_B_HOTVSNA_OFFER_5">Предложение!$G$327</definedName>
    <definedName name="pIns_PT_VTAR_B_OFFER_1">Предложение!$G$31</definedName>
    <definedName name="pIns_PT_VTAR_B_OFFER_2">Предложение!$G$96</definedName>
    <definedName name="pIns_PT_VTAR_B_OFFER_3">Предложение!$G$159</definedName>
    <definedName name="pIns_PT_VTAR_B_OFFER_4">Предложение!$G$222</definedName>
    <definedName name="pIns_PT_VTAR_B_OFFER_5">Предложение!$G$285</definedName>
    <definedName name="pIns_PT_VTAR_B_VOTV">'ВО. Т-транс'!$T$53</definedName>
    <definedName name="pIns_PT_VTAR_B_VOTV_OFFER_1">Предложение!$G$82</definedName>
    <definedName name="pIns_PT_VTAR_B_VOTV_OFFER_2">Предложение!$G$147</definedName>
    <definedName name="pIns_PT_VTAR_B_VOTV_OFFER_3">Предложение!$G$210</definedName>
    <definedName name="pIns_PT_VTAR_B_VOTV_OFFER_4">Предложение!$G$273</definedName>
    <definedName name="pIns_PT_VTAR_B_VOTV_OFFER_5">Предложение!$G$336</definedName>
    <definedName name="pIns_PT_VTAR_C">'ТС. Т-ТН'!$T$57</definedName>
    <definedName name="pIns_PT_VTAR_C_COLDVSNA">'ХВС. Т-транс'!$T$53</definedName>
    <definedName name="pIns_PT_VTAR_C_COLDVSNA_OFFER_1">Предложение!$G$61</definedName>
    <definedName name="pIns_PT_VTAR_C_COLDVSNA_OFFER_2">Предложение!$G$126</definedName>
    <definedName name="pIns_PT_VTAR_C_COLDVSNA_OFFER_3">Предложение!$G$189</definedName>
    <definedName name="pIns_PT_VTAR_C_COLDVSNA_OFFER_4">Предложение!$G$252</definedName>
    <definedName name="pIns_PT_VTAR_C_COLDVSNA_OFFER_5">Предложение!$G$315</definedName>
    <definedName name="pIns_PT_VTAR_C_HOTVSNA">'ГВС. Т-подкл'!$T$63</definedName>
    <definedName name="pIns_PT_VTAR_C_HOTVSNA_OFFER_1">Предложение!$G$76</definedName>
    <definedName name="pIns_PT_VTAR_C_HOTVSNA_OFFER_2">Предложение!$G$141</definedName>
    <definedName name="pIns_PT_VTAR_C_HOTVSNA_OFFER_3">Предложение!$G$204</definedName>
    <definedName name="pIns_PT_VTAR_C_HOTVSNA_OFFER_4">Предложение!$G$267</definedName>
    <definedName name="pIns_PT_VTAR_C_HOTVSNA_OFFER_5">Предложение!$G$330</definedName>
    <definedName name="pIns_PT_VTAR_C_OFFER_1">Предложение!$G$34</definedName>
    <definedName name="pIns_PT_VTAR_C_OFFER_2">Предложение!$G$99</definedName>
    <definedName name="pIns_PT_VTAR_C_OFFER_3">Предложение!$G$162</definedName>
    <definedName name="pIns_PT_VTAR_C_OFFER_4">Предложение!$G$225</definedName>
    <definedName name="pIns_PT_VTAR_C_OFFER_5">Предложение!$G$288</definedName>
    <definedName name="pIns_PT_VTAR_C_VOTV">'ВО. Т-подкл'!$T$63</definedName>
    <definedName name="pIns_PT_VTAR_C_VOTV_OFFER_1">Предложение!$G$85</definedName>
    <definedName name="pIns_PT_VTAR_C_VOTV_OFFER_2">Предложение!$G$150</definedName>
    <definedName name="pIns_PT_VTAR_C_VOTV_OFFER_3">Предложение!$G$213</definedName>
    <definedName name="pIns_PT_VTAR_C_VOTV_OFFER_4">Предложение!$G$276</definedName>
    <definedName name="pIns_PT_VTAR_C_VOTV_OFFER_5">Предложение!$G$339</definedName>
    <definedName name="pIns_PT_VTAR_D">'ТС. Т-гор.вода'!$V$65</definedName>
    <definedName name="pIns_PT_VTAR_D_COLDVSNA">'ХВС. Т-подвоз'!$T$53</definedName>
    <definedName name="pIns_PT_VTAR_D_COLDVSNA_OFFER_1">Предложение!$G$64</definedName>
    <definedName name="pIns_PT_VTAR_D_COLDVSNA_OFFER_2">Предложение!$G$129</definedName>
    <definedName name="pIns_PT_VTAR_D_COLDVSNA_OFFER_3">Предложение!$G$192</definedName>
    <definedName name="pIns_PT_VTAR_D_COLDVSNA_OFFER_4">Предложение!$G$255</definedName>
    <definedName name="pIns_PT_VTAR_D_COLDVSNA_OFFER_5">Предложение!$G$318</definedName>
    <definedName name="pIns_PT_VTAR_D_OFFER_1">Предложение!$G$37</definedName>
    <definedName name="pIns_PT_VTAR_D_OFFER_2">Предложение!$G$102</definedName>
    <definedName name="pIns_PT_VTAR_D_OFFER_3">Предложение!$G$165</definedName>
    <definedName name="pIns_PT_VTAR_D_OFFER_4">Предложение!$G$228</definedName>
    <definedName name="pIns_PT_VTAR_D_OFFER_5">Предложение!$G$291</definedName>
    <definedName name="pIns_PT_VTAR_E_COLDVSNA">'ХВС. Т-подкл'!$T$63</definedName>
    <definedName name="pIns_PT_VTAR_E_COLDVSNA_OFFER_1">Предложение!$G$67</definedName>
    <definedName name="pIns_PT_VTAR_E_COLDVSNA_OFFER_2">Предложение!$G$132</definedName>
    <definedName name="pIns_PT_VTAR_E_COLDVSNA_OFFER_3">Предложение!$G$195</definedName>
    <definedName name="pIns_PT_VTAR_E_COLDVSNA_OFFER_4">Предложение!$G$258</definedName>
    <definedName name="pIns_PT_VTAR_E_COLDVSNA_OFFER_5">Предложение!$G$321</definedName>
    <definedName name="pIns_PT_VTAR_E1">'ТС. Т-передача ТЭ'!$T$57</definedName>
    <definedName name="pIns_PT_VTAR_E1_OFFER_1">Предложение!$G$40</definedName>
    <definedName name="pIns_PT_VTAR_E1_OFFER_2">Предложение!$G$105</definedName>
    <definedName name="pIns_PT_VTAR_E1_OFFER_3">Предложение!$G$168</definedName>
    <definedName name="pIns_PT_VTAR_E1_OFFER_4">Предложение!$G$231</definedName>
    <definedName name="pIns_PT_VTAR_E1_OFFER_5">Предложение!$G$294</definedName>
    <definedName name="pIns_PT_VTAR_E2">'ТС. Т-передача ТН'!$T$57</definedName>
    <definedName name="pIns_PT_VTAR_E2_OFFER_1">Предложение!$G$43</definedName>
    <definedName name="pIns_PT_VTAR_E2_OFFER_2">Предложение!$G$108</definedName>
    <definedName name="pIns_PT_VTAR_E2_OFFER_3">Предложение!$G$171</definedName>
    <definedName name="pIns_PT_VTAR_E2_OFFER_4">Предложение!$G$234</definedName>
    <definedName name="pIns_PT_VTAR_E2_OFFER_5">Предложение!$G$297</definedName>
    <definedName name="pIns_PT_VTAR_F">'ТС. Резерв мощности'!$T$57</definedName>
    <definedName name="pIns_PT_VTAR_F_OFFER_1">Предложение!$G$46</definedName>
    <definedName name="pIns_PT_VTAR_F_OFFER_2">Предложение!$G$111</definedName>
    <definedName name="pIns_PT_VTAR_F_OFFER_3">Предложение!$G$174</definedName>
    <definedName name="pIns_PT_VTAR_F_OFFER_4">Предложение!$G$237</definedName>
    <definedName name="pIns_PT_VTAR_F_OFFER_5">Предложение!$G$300</definedName>
    <definedName name="pIns_PT_VTAR_G">'ТС. Т-подкл'!$T$62</definedName>
    <definedName name="pIns_PT_VTAR_G_OFFER_1">Предложение!$G$49</definedName>
    <definedName name="pIns_PT_VTAR_G_OFFER_2">Предложение!$G$114</definedName>
    <definedName name="pIns_PT_VTAR_G_OFFER_3">Предложение!$G$177</definedName>
    <definedName name="pIns_PT_VTAR_G_OFFER_4">Предложение!$G$240</definedName>
    <definedName name="pIns_PT_VTAR_G_OFFER_5">Предложение!$G$303</definedName>
    <definedName name="pIns_PT_VTAR_H">'ТС. Т-подкл(инд)'!$T$56</definedName>
    <definedName name="pIns_PT_VTAR_H_OFFER_1">Предложение!$G$52</definedName>
    <definedName name="pIns_PT_VTAR_H_OFFER_2">Предложение!$G$117</definedName>
    <definedName name="pIns_PT_VTAR_H_OFFER_3">Предложение!$G$180</definedName>
    <definedName name="pIns_PT_VTAR_H_OFFER_4">Предложение!$G$243</definedName>
    <definedName name="pIns_PT_VTAR_H_OFFER_5">Предложение!$G$306</definedName>
    <definedName name="pIns_PT_VTAR_I">'ТС. Т-ТЭ | предел'!$T$57</definedName>
    <definedName name="pIns_PT_VTAR_I_1">'ТС. Т-ТЭ | индикат'!$T$57</definedName>
    <definedName name="pIns_Q_LIMIT_1">Ограничения!$E$33</definedName>
    <definedName name="pIns_Q_LIMIT_2">Ограничения!$E$35</definedName>
    <definedName name="pIns_Q_LIMIT_3">Ограничения!$E$37</definedName>
    <definedName name="pIns_Q_LIMIT_4">Ограничения!$E$39</definedName>
    <definedName name="pIns_Q_LIMIT_DIFFERENTIATION">Ограничения!$K$25</definedName>
    <definedName name="pIns_Q_PH_DIFFERENTIATION">'Потребительские характеристики'!$K$8</definedName>
    <definedName name="pIns_Q_TP_1">ТП!$E$22</definedName>
    <definedName name="pIns_Q_TP_DIFFERENTIATION">ТП!$I$8</definedName>
    <definedName name="pIns_R_B_Purch_1">'Сведения о закупках'!$E$14</definedName>
    <definedName name="pIns_ROIV_CASE_case">'Дела об установлении тарифов'!$F$11</definedName>
    <definedName name="pIns_ROIV_CASE_PUC_case">'Дела об утверждении ПУЦ'!$F$11</definedName>
    <definedName name="pIns_ROIV_INFO_phone">'Орган регулирования'!$E$21</definedName>
    <definedName name="pIns_ROIV_ORG_org">'Перечень организаций'!$F$10</definedName>
    <definedName name="pIns_ROIV_OTV_org">'Привлечение к ответственности'!$F$15</definedName>
    <definedName name="pIns_ver_COLDVSNA_TARIFF_A_COLDVSNA">'ХВС. Т-пит'!$AJ$37</definedName>
    <definedName name="pIns_ver_COLDVSNA_TARIFF_B_COLDVSNA">'ХВС. Т-тех'!$AJ$37</definedName>
    <definedName name="pIns_ver_COLDVSNA_TARIFF_C_COLDVSNA">'ХВС. Т-транс'!$AJ$37</definedName>
    <definedName name="pIns_ver_COLDVSNA_TARIFF_D_COLDVSNA">'ХВС. Т-подвоз'!$AJ$37</definedName>
    <definedName name="pIns_ver_COLDVSNA_TARIFF_E_COLDVSNA">'ХВС. Т-подкл'!$BB$41</definedName>
    <definedName name="pIns_ver_HEAT_TARIFF_A">'ТС. Т-ТЭ | &gt;=25МВт'!$AL$39</definedName>
    <definedName name="pIns_ver_HEAT_TARIFF_B">'ТС. Т-ТЭ | ТСО'!$AT$39</definedName>
    <definedName name="pIns_ver_HEAT_TARIFF_C">'ТС. Т-ТН'!$AL$39</definedName>
    <definedName name="pIns_ver_HEAT_TARIFF_D">'ТС. Т-гор.вода'!$AP$43</definedName>
    <definedName name="pIns_ver_HEAT_TARIFF_E1">'ТС. Т-передача ТЭ'!$AL$39</definedName>
    <definedName name="pIns_ver_HEAT_TARIFF_E2">'ТС. Т-передача ТН'!$AL$39</definedName>
    <definedName name="pIns_ver_HEAT_TARIFF_F">'ТС. Резерв мощности'!$AL$39</definedName>
    <definedName name="pIns_ver_HEAT_TARIFF_G">'ТС. Т-подкл'!$AT$40</definedName>
    <definedName name="pIns_ver_HEAT_TARIFF_H">'ТС. Т-подкл(инд)'!$AJ$37</definedName>
    <definedName name="pIns_ver_HEAT_TARIFF_I">'ТС. Т-ТЭ | предел'!$AL$39</definedName>
    <definedName name="pIns_ver_HEAT_TARIFF_I_1">'ТС. Т-ТЭ | индикат'!$AL$39</definedName>
    <definedName name="pIns_ver_HOTVSNA_TARIFF_A_HOTVSNA">'ГВС. Т-гор.вода'!$AR$37</definedName>
    <definedName name="pIns_ver_HOTVSNA_TARIFF_B_HOTVSNA">'ГВС. Т-транс'!$AR$37</definedName>
    <definedName name="pIns_ver_HOTVSNA_TARIFF_C_HOTVSNA">'ГВС. Т-подкл'!$BB$41</definedName>
    <definedName name="pIns_ver_VOTV_TARIFF_A_VOTV">'ВО. Т-во'!$AJ$37</definedName>
    <definedName name="pIns_ver_VOTV_TARIFF_B_VOTV">'ВО. Т-транс'!$AJ$37</definedName>
    <definedName name="pIns_ver_VOTV_TARIFF_C_VOTV">'ВО. Т-подкл'!$BB$41</definedName>
    <definedName name="pNote_LIMIT">Ограничения!$K$26</definedName>
    <definedName name="pNote_Q_PH">'Потребительские характеристики'!$K$9</definedName>
    <definedName name="pNum_Q_LIMIT">Ограничения!$D$31</definedName>
    <definedName name="PROCEDURE_TC_NAME_FORM">DATA_FORMS!$C$30</definedName>
    <definedName name="PT_ADD_HL_CS_COLUMN_MARKER">'Перечень тарифов'!$R$8</definedName>
    <definedName name="PT_ADD_HL_IST_TE_COLUMN_MARKER">'Перечень тарифов'!$V$8</definedName>
    <definedName name="PT_ADD_HL_NTAR_COLUMN_MARKER">'Перечень тарифов'!$J$8</definedName>
    <definedName name="PT_ADD_HL_TER_COLUMN_MARKER">'Перечень тарифов'!$N$8</definedName>
    <definedName name="PT_ADD_HL_VTAR_COLUMN_MARKER">'Перечень тарифов'!$E$8</definedName>
    <definedName name="pt_cs_1">'ТС. Т-ТЭ | &gt;=25МВт'!$45:$54</definedName>
    <definedName name="pt_cs_10">'ХВС. Т-тех'!$43:$50</definedName>
    <definedName name="pt_cs_11">'ХВС. Т-транс'!$43:$50</definedName>
    <definedName name="pt_cs_12">'ХВС. Т-подвоз'!$43:$50</definedName>
    <definedName name="pt_cs_13">'ХВС. Т-подкл'!$48:$60</definedName>
    <definedName name="pt_cs_14">'ГВС. Т-гор.вода'!$44:$51</definedName>
    <definedName name="pt_cs_15">'ГВС. Т-транс'!$44:$51</definedName>
    <definedName name="pt_cs_16">'ГВС. Т-подкл'!$48:$60</definedName>
    <definedName name="pt_cs_17">'ВО. Т-во'!$43:$50</definedName>
    <definedName name="pt_cs_18">'ВО. Т-транс'!$43:$50</definedName>
    <definedName name="pt_cs_19">'ВО. Т-подкл'!$48:$60</definedName>
    <definedName name="pt_cs_2">'ТС. Т-ТЭ | ТСО'!$45:$54</definedName>
    <definedName name="pt_cs_20">'ТС. Т-подкл(инд)'!$44:$52</definedName>
    <definedName name="pt_cs_21">'ТС. Т-ТЭ | предел'!$45:$54</definedName>
    <definedName name="pt_cs_21_1">'ТС. Т-ТЭ | индикат'!$45:$54</definedName>
    <definedName name="pt_cs_3">'ТС. Т-ТН'!$45:$54</definedName>
    <definedName name="pt_cs_4">'ТС. Т-гор.вода'!$51:$62</definedName>
    <definedName name="pt_cs_5">'ТС. Т-передача ТЭ'!$45:$54</definedName>
    <definedName name="pt_cs_6">'ТС. Т-передача ТН'!$45:$54</definedName>
    <definedName name="pt_cs_7">'ТС. Резерв мощности'!$45:$54</definedName>
    <definedName name="pt_cs_8">'ТС. Т-подкл'!$47:$58</definedName>
    <definedName name="pt_cs_9">'ХВС. Т-пит'!$43:$50</definedName>
    <definedName name="PT_DEL_HL_CS_COLUMN_MARKER">'Перечень тарифов'!$P$8</definedName>
    <definedName name="PT_DEL_HL_IST_TE_COLUMN_MARKER">'Перечень тарифов'!$T$8</definedName>
    <definedName name="PT_DEL_HL_NTAR_COLUMN_MARKER">'Перечень тарифов'!$H$8</definedName>
    <definedName name="PT_DEL_HL_TER_COLUMN_MARKER">'Перечень тарифов'!$L$8</definedName>
    <definedName name="PT_DEL_HL_VTAR_COLUMN_MARKER">'Перечень тарифов'!$C$8</definedName>
    <definedName name="PT_DIAMETERS_2_LIST">TEHSHEET!$AZ$76:$AZ$82</definedName>
    <definedName name="PT_DIAMETERS_LIST">TEHSHEET!$AZ$60:$AZ$64</definedName>
    <definedName name="PT_DIFFERENTIATION_CS">'Перечень тарифов'!$AL$12:$AL$141</definedName>
    <definedName name="PT_DIFFERENTIATION_CS_ID">'Перечень тарифов'!$AF$12:$AF$141</definedName>
    <definedName name="PT_DIFFERENTIATION_IST_TE">'Перечень тарифов'!$AM$12:$AM$141</definedName>
    <definedName name="PT_DIFFERENTIATION_IST_TE_ID">'Перечень тарифов'!$AG$12:$AG$141</definedName>
    <definedName name="PT_DIFFERENTIATION_NTAR">'Перечень тарифов'!$AJ$12:$AJ$141</definedName>
    <definedName name="PT_DIFFERENTIATION_NTAR_ID">'Перечень тарифов'!$AD$12:$AD$141</definedName>
    <definedName name="PT_DIFFERENTIATION_NUM_CS">'Перечень тарифов'!$AP$12:$AP$141</definedName>
    <definedName name="PT_DIFFERENTIATION_NUM_IST_TE">'Перечень тарифов'!$AQ$12:$AQ$141</definedName>
    <definedName name="PT_DIFFERENTIATION_NUM_NTAR">'Перечень тарифов'!$AN$12:$AN$141</definedName>
    <definedName name="PT_DIFFERENTIATION_NUM_TER">'Перечень тарифов'!$AO$12:$AO$141</definedName>
    <definedName name="PT_DIFFERENTIATION_TER">'Перечень тарифов'!$AK$12:$AK$141</definedName>
    <definedName name="PT_DIFFERENTIATION_TER_ID">'Перечень тарифов'!$AE$12:$AE$141</definedName>
    <definedName name="PT_DIFFERENTIATION_VDET">'Перечень тарифов'!$AI$12:$AI$141</definedName>
    <definedName name="PT_DIFFERENTIATION_VTAR">'Перечень тарифов'!$AH$12:$AH$141</definedName>
    <definedName name="PT_DIFFERENTIATION_VTAR_ID">'Перечень тарифов'!$AC$12:$AC$141</definedName>
    <definedName name="PT_FLAG_CS_COLUMN_MARKER">'Перечень тарифов'!$O$8</definedName>
    <definedName name="PT_FLAG_IST_TE_COLUMN_MARKER">'Перечень тарифов'!$S$8</definedName>
    <definedName name="PT_FLAG_TER_COLUMN_MARKER">'Перечень тарифов'!$K$8</definedName>
    <definedName name="PT_FLAG_VTAR_COLUMN_MARKER">'Перечень тарифов'!$F$8</definedName>
    <definedName name="PT_GROUP_CONSUMER_LIST">TEHSHEET!$AZ$29:$AZ$33</definedName>
    <definedName name="PT_HEAT_PRICE_INDICATORS_LEVEL">'Перечень тарифов'!$F$67</definedName>
    <definedName name="pt_ist_te_1">'ТС. Т-ТЭ | &gt;=25МВт'!$46:$53</definedName>
    <definedName name="pt_ist_te_2">'ТС. Т-ТЭ | ТСО'!$46:$53</definedName>
    <definedName name="pt_ist_te_20">'ТС. Т-подкл(инд)'!$45:$51</definedName>
    <definedName name="pt_ist_te_21">'ТС. Т-ТЭ | предел'!$46:$53</definedName>
    <definedName name="pt_ist_te_21_1">'ТС. Т-ТЭ | индикат'!$46:$53</definedName>
    <definedName name="pt_ist_te_3">'ТС. Т-ТН'!$46:$53</definedName>
    <definedName name="pt_ist_te_4">'ТС. Т-гор.вода'!$52:$61</definedName>
    <definedName name="pt_ist_te_5">'ТС. Т-передача ТЭ'!$46:$53</definedName>
    <definedName name="pt_ist_te_6">'ТС. Т-передача ТН'!$46:$53</definedName>
    <definedName name="pt_ist_te_7">'ТС. Резерв мощности'!$46:$53</definedName>
    <definedName name="pt_ist_te_8">'ТС. Т-подкл'!$48:$57</definedName>
    <definedName name="PT_LOAD_LIST">TEHSHEET!$AZ$67:$AZ$72</definedName>
    <definedName name="PT_NETS_LIST">TEHSHEET!$AZ$55:$AZ$57</definedName>
    <definedName name="pt_ntar_1">'ТС. Т-ТЭ | &gt;=25МВт'!$43:$56</definedName>
    <definedName name="pt_ntar_10">'ХВС. Т-тех'!$41:$52</definedName>
    <definedName name="pt_ntar_11">'ХВС. Т-транс'!$41:$52</definedName>
    <definedName name="pt_ntar_12">'ХВС. Т-подвоз'!$41:$52</definedName>
    <definedName name="pt_ntar_13">'ХВС. Т-подкл'!$46:$62</definedName>
    <definedName name="pt_ntar_14">'ГВС. Т-гор.вода'!$42:$53</definedName>
    <definedName name="pt_ntar_15">'ГВС. Т-транс'!$42:$53</definedName>
    <definedName name="pt_ntar_16">'ГВС. Т-подкл'!$46:$62</definedName>
    <definedName name="pt_ntar_17">'ВО. Т-во'!$41:$52</definedName>
    <definedName name="pt_ntar_18">'ВО. Т-транс'!$41:$52</definedName>
    <definedName name="pt_ntar_19">'ВО. Т-подкл'!$46:$62</definedName>
    <definedName name="pt_ntar_2">'ТС. Т-ТЭ | ТСО'!$43:$56</definedName>
    <definedName name="pt_ntar_20">'ТС. Т-подкл(инд)'!$42:$55</definedName>
    <definedName name="pt_ntar_21">'ТС. Т-ТЭ | предел'!$43:$56</definedName>
    <definedName name="pt_ntar_21_1">'ТС. Т-ТЭ | индикат'!$43:$56</definedName>
    <definedName name="pt_ntar_3">'ТС. Т-ТН'!$43:$56</definedName>
    <definedName name="pt_ntar_4">'ТС. Т-гор.вода'!$49:$64</definedName>
    <definedName name="pt_ntar_5">'ТС. Т-передача ТЭ'!$43:$56</definedName>
    <definedName name="pt_ntar_6">'ТС. Т-передача ТН'!$43:$56</definedName>
    <definedName name="pt_ntar_7">'ТС. Резерв мощности'!$43:$56</definedName>
    <definedName name="pt_ntar_8">'ТС. Т-подкл'!$45:$61</definedName>
    <definedName name="pt_ntar_9">'ХВС. Т-пит'!$41:$52</definedName>
    <definedName name="PT_P_FORM_COLDVSNA_4_NAME_FORM">DATA_FORMS!$C$17</definedName>
    <definedName name="PT_P_FORM_COLDVSNA_5_NAME_FORM">DATA_FORMS!$C$18</definedName>
    <definedName name="PT_P_FORM_HEAT_21_NAME_FORM">DATA_FORMS!$C$13</definedName>
    <definedName name="PT_P_FORM_HEAT_22_NAME_FORM">DATA_FORMS!$C$14</definedName>
    <definedName name="PT_P_FORM_HEAT_4_NAME_FORM">DATA_FORMS!$C$9</definedName>
    <definedName name="PT_P_FORM_HEAT_5_NAME_FORM">DATA_FORMS!$C$10</definedName>
    <definedName name="PT_P_FORM_HEAT_6_NAME_FORM">DATA_FORMS!$C$11</definedName>
    <definedName name="PT_P_FORM_HEAT_7_NAME_FORM">DATA_FORMS!$C$12</definedName>
    <definedName name="PT_P_FORM_HOTVSNA_4_NAME_FORM">DATA_FORMS!$C$21</definedName>
    <definedName name="PT_P_FORM_HOTVSNA_5_NAME_FORM">DATA_FORMS!$C$22</definedName>
    <definedName name="PT_P_FORM_VOTV_4_NAME_FORM">DATA_FORMS!$C$25</definedName>
    <definedName name="PT_P_FORM_VOTV_5_NAME_FORM">DATA_FORMS!$C$26</definedName>
    <definedName name="PT_R_FORM_COLDVSNA_16_NAME_FORM">DATA_FORMS!$C$19</definedName>
    <definedName name="PT_R_FORM_COLDVSNA_17_NAME_FORM">DATA_FORMS!$C$20</definedName>
    <definedName name="PT_R_FORM_HEAT_21_NAME_FORM">DATA_FORMS!$C$13</definedName>
    <definedName name="PT_R_FORM_HEAT_22_NAME_FORM">DATA_FORMS!$C$14</definedName>
    <definedName name="PT_R_FORM_HEAT_23_NAME_FORM">DATA_FORMS!$C$15</definedName>
    <definedName name="PT_R_FORM_HEAT_24_NAME_FORM">DATA_FORMS!$C$16</definedName>
    <definedName name="PT_R_FORM_HOTVSNA_16_NAME_FORM">DATA_FORMS!$C$23</definedName>
    <definedName name="PT_R_FORM_HOTVSNA_17_NAME_FORM">DATA_FORMS!$C$24</definedName>
    <definedName name="PT_R_FORM_VOTV_16_NAME_FORM">DATA_FORMS!$C$27</definedName>
    <definedName name="PT_R_FORM_VOTV_17_NAME_FORM">DATA_FORMS!$C$28</definedName>
    <definedName name="PT_SCHEME_LIST">TEHSHEET!$AZ$36:$AZ$39</definedName>
    <definedName name="pt_ter_1">'ТС. Т-ТЭ | &gt;=25МВт'!$44:$55</definedName>
    <definedName name="pt_ter_10">'ХВС. Т-тех'!$42:$51</definedName>
    <definedName name="pt_ter_11">'ХВС. Т-транс'!$42:$51</definedName>
    <definedName name="pt_ter_12">'ХВС. Т-подвоз'!$42:$51</definedName>
    <definedName name="pt_ter_13">'ХВС. Т-подкл'!$47:$61</definedName>
    <definedName name="pt_ter_14">'ГВС. Т-гор.вода'!$43:$52</definedName>
    <definedName name="pt_ter_15">'ГВС. Т-транс'!$43:$52</definedName>
    <definedName name="pt_ter_16">'ГВС. Т-подкл'!$47:$61</definedName>
    <definedName name="pt_ter_17">'ВО. Т-во'!$42:$51</definedName>
    <definedName name="pt_ter_18">'ВО. Т-транс'!$42:$51</definedName>
    <definedName name="pt_ter_19">'ВО. Т-подкл'!$47:$61</definedName>
    <definedName name="pt_ter_2">'ТС. Т-ТЭ | ТСО'!$44:$55</definedName>
    <definedName name="pt_ter_20">'ТС. Т-подкл(инд)'!$43:$53</definedName>
    <definedName name="pt_ter_21">'ТС. Т-ТЭ | предел'!$44:$55</definedName>
    <definedName name="pt_ter_21_1">'ТС. Т-ТЭ | индикат'!$44:$55</definedName>
    <definedName name="pt_ter_3">'ТС. Т-ТН'!$44:$55</definedName>
    <definedName name="pt_ter_4">'ТС. Т-гор.вода'!$50:$63</definedName>
    <definedName name="pt_ter_5">'ТС. Т-передача ТЭ'!$44:$55</definedName>
    <definedName name="pt_ter_6">'ТС. Т-передача ТН'!$44:$55</definedName>
    <definedName name="pt_ter_7">'ТС. Резерв мощности'!$44:$55</definedName>
    <definedName name="pt_ter_8">'ТС. Т-подкл'!$46:$59</definedName>
    <definedName name="pt_ter_9">'ХВС. Т-пит'!$42:$51</definedName>
    <definedName name="PT_TN_LIST">TEHSHEET!$AZ$42:$AZ$52</definedName>
    <definedName name="PT_VDET_COLUMN_MARKER">'Перечень тарифов'!$G$8</definedName>
    <definedName name="PURCH_NAME_FORM">DATA_FORMS!$C$29</definedName>
    <definedName name="Q_LIMIT_CheckC">Ограничения!$E$32:$K$39</definedName>
    <definedName name="Q_LIMIT_diff_1">Ограничения!$I$26:$J$28</definedName>
    <definedName name="Q_LIMIT_p3">Ограничения!$F$36:$K$37</definedName>
    <definedName name="Q_LIMIT_p4">Ограничения!$F$38:$K$39</definedName>
    <definedName name="Q_PH_diff_1">'Потребительские характеристики'!$I$9:$J$11</definedName>
    <definedName name="Q_TP_COUNT_REFUSAL">ТП!$H$17:$H$17</definedName>
    <definedName name="Q_TP_diff_1">ТП!$H$9:$H$11</definedName>
    <definedName name="QRE_METHOD_LIST">TEHSHEET!$AZ$8:$AZ$10</definedName>
    <definedName name="QUARTER">TEHSHEET!$F$2:$F$5</definedName>
    <definedName name="R_OFFER_ADD_PERIOD_HL_COLUMN_MARKER">Предложение!$I$12</definedName>
    <definedName name="R_OFFER_CHANGE_HL_COLUMN_MARKER">Предложение!$K$12</definedName>
    <definedName name="R_OFFER_DEL_HL_COLUMN_MARKER">Предложение!$H$12</definedName>
    <definedName name="R_OFFER_FLAG_HL_COLUMN_MARKER">Предложение!$C$12</definedName>
    <definedName name="REESTR_LINK_RANGE">REESTR_LINK!$A$2:$C$3</definedName>
    <definedName name="REESTR_VT_RANGE">REESTR_VT!$A$2:$B$11</definedName>
    <definedName name="REGION">TEHSHEET!$A$2:$A$91</definedName>
    <definedName name="region_name">Титульный!$F$7</definedName>
    <definedName name="RegulatoryPeriod">Титульный!$F$11:$F$12</definedName>
    <definedName name="ReportPeriod">Титульный!$F$11:$F$15</definedName>
    <definedName name="ROIV_CASE_ADD_HL_CASE_COLUMN_MARKER">'Дела об установлении тарифов'!$F$1</definedName>
    <definedName name="ROIV_CASE_DATE">'Дела об установлении тарифов'!$G$10:$G$11</definedName>
    <definedName name="ROIV_CASE_DEL_HL_CASE_COLUMN_MARKER">'Дела об установлении тарифов'!$D$1</definedName>
    <definedName name="ROIV_CASE_NUM_CASE_COLUMN_MARKER">'Дела об установлении тарифов'!$E$1</definedName>
    <definedName name="ROIV_CASE_PROTOKOL">'Дела об установлении тарифов'!$K$10:$K$11</definedName>
    <definedName name="ROIV_CASE_PROTOKOL_ET">'Дела об установлении тарифов'!$K$2</definedName>
    <definedName name="ROIV_CASE_PUC_ADD_HL_CASE_COLUMN_MARKER">'Дела об утверждении ПУЦ'!$F$1</definedName>
    <definedName name="ROIV_CASE_PUC_DATE">'Дела об утверждении ПУЦ'!$G$10:$G$11</definedName>
    <definedName name="ROIV_CASE_PUC_DEL_HL_CASE_COLUMN_MARKER">'Дела об утверждении ПУЦ'!$D$1</definedName>
    <definedName name="ROIV_CASE_PUC_NUM_CASE_COLUMN_MARKER">'Дела об утверждении ПУЦ'!$E$1</definedName>
    <definedName name="ROIV_CASE_PUC_PROTOKOL">'Дела об утверждении ПУЦ'!$K$10:$K$11</definedName>
    <definedName name="ROIV_CASE_PUC_PROTOKOL_ET">'Дела об утверждении ПУЦ'!$K$2</definedName>
    <definedName name="ROIV_CASE_PUC_RESH">'Дела об утверждении ПУЦ'!$J$10:$J$11</definedName>
    <definedName name="ROIV_CASE_PUC_RESH_ET">'Дела об утверждении ПУЦ'!$J$2</definedName>
    <definedName name="ROIV_CASE_RESH">'Дела об установлении тарифов'!$J$10:$J$11</definedName>
    <definedName name="ROIV_CASE_RESH_ET">'Дела об установлении тарифов'!$J$2</definedName>
    <definedName name="ROIV_INFO_COMMENT">TEHSHEET!$BA$97:$BA$103</definedName>
    <definedName name="ROIV_INFO_COMMENT_HEAT">TEHSHEET!$BA$97:$BA$103</definedName>
    <definedName name="ROIV_INFO_COMMENT_NO_HEAT">TEHSHEET!$BA$111:$BA$116</definedName>
    <definedName name="ROIV_INFO_DEL_HL_PHONE_COLUMN_MARKER">'Орган регулирования'!$C$1</definedName>
    <definedName name="ROIV_INFO_DOKLAD">'Орган регулирования'!$F$24</definedName>
    <definedName name="ROIV_INFO_LIST">TEHSHEET!$AZ$97:$AZ$103</definedName>
    <definedName name="ROIV_INFO_LIST_HEAT">TEHSHEET!$AZ$97:$AZ$103</definedName>
    <definedName name="ROIV_INFO_LIST_NO_HEAT">TEHSHEET!$AZ$111:$AZ$116</definedName>
    <definedName name="ROIV_INFO_NAME">'Орган регулирования'!$F$12</definedName>
    <definedName name="ROIV_INFO_NUM_PHONE_COLUMN_MARKER">'Орган регулирования'!$D$1</definedName>
    <definedName name="ROIV_ORG_DEL_HL_ORG_COLUMN_MARKER">'Перечень организаций'!$D$1</definedName>
    <definedName name="ROIV_ORG_INN_COLUMN_MARKER">'Перечень организаций'!$G$1</definedName>
    <definedName name="ROIV_ORG_KPP_COLUMN_MARKER">'Перечень организаций'!$H$1</definedName>
    <definedName name="ROIV_ORG_NAME_ORG_COLUMN_MARKER">'Перечень организаций'!$F$1</definedName>
    <definedName name="ROIV_ORG_NUM_ORG_COLUMN_MARKER">'Перечень организаций'!$E$1</definedName>
    <definedName name="ROIV_ORG_TECH_ORG_ID">'Перечень организаций'!$A$9:$A$10</definedName>
    <definedName name="ROIV_ORG_TECH_ORG_ID_COLUMN_MARKER">'Перечень организаций'!$A$1</definedName>
    <definedName name="ROIV_OTV_ADD_HL_DL_COLUMN_MARKER">'Привлечение к ответственности'!$K$1</definedName>
    <definedName name="ROIV_OTV_DEL_HL_DL_COLUMN_MARKER">'Привлечение к ответственности'!$I$1</definedName>
    <definedName name="ROIV_OTV_DEL_HL_ORG_COLUMN_MARKER">'Привлечение к ответственности'!$D$1</definedName>
    <definedName name="ROIV_OTV_INN_COLUMN_MARKER">'Привлечение к ответственности'!$H$1</definedName>
    <definedName name="ROIV_OTV_NAME_ORG_COLUMN_MARKER">'Привлечение к ответственности'!$G$1</definedName>
    <definedName name="ROIV_OTV_NUM_DL_COLUMN_MARKER">'Привлечение к ответственности'!$J$1</definedName>
    <definedName name="ROIV_OTV_NUM_ORG_COLUMN_MARKER">'Привлечение к ответственности'!$E$1</definedName>
    <definedName name="ROIV_OTV_TECH_ORG_ID_COLUMN_MARKER">'Привлечение к ответственности'!$A$1</definedName>
    <definedName name="RST_ORG_ID">Титульный!$F$72</definedName>
    <definedName name="SKI_number">TEHSHEET!$I$2:$I$21</definedName>
    <definedName name="StartDateList">TEHSHEET!$G$46:$G$53</definedName>
    <definedName name="tblEnd_1_B_FHD">'Показатели ФХД'!$J$131</definedName>
    <definedName name="tblEnd_1_B_FHD_TKO">'ТКО. Показатели ФХД'!$J$47</definedName>
    <definedName name="tblEnd_1_B_FHD_TKO_TRANS">'ТКО. Транс. Показатели ФХД'!$J$38</definedName>
    <definedName name="tblEnd_1_B_KNE">'Показатели КНЭ'!$J$101</definedName>
    <definedName name="tblEnd_1_B_OTEP">'Показатели ОТЭП'!$N$34</definedName>
    <definedName name="tblEnd_1_B_STANDARTS">'Стандарты качества'!$L$13</definedName>
    <definedName name="tblEnd_1_CHANGE_INFO">'Сведения об изменении'!$E$14</definedName>
    <definedName name="tblEnd_1_DIFFERENTIATION">Дифференциация!$M$17</definedName>
    <definedName name="tblEnd_1_DIFFERENTIATION_TARIFF">'Перечень тарифов'!$W$140</definedName>
    <definedName name="tblEnd_1_DIFFERENTIATION_TKO">'Дифференциация тариф показатель'!$AI$41</definedName>
    <definedName name="tblEnd_1_ED">ЭД!$H$14</definedName>
    <definedName name="tblEnd_1_IP_DETAILED">'ИП. Детализация'!$AH$14</definedName>
    <definedName name="tblEnd_1_IP_FIN_PLAN">'ИП. Финансовый план'!$K$58</definedName>
    <definedName name="tblEnd_1_IP_MAIN">ИП!$AB$14</definedName>
    <definedName name="tblEnd_1_IP_QRE">'ИП. КНЭ'!$FX$21</definedName>
    <definedName name="tblEnd_1_OFFER">Предложение!$L$340</definedName>
    <definedName name="tblEnd_1_ORG_INFO">'Общая информация об организации'!$F$52</definedName>
    <definedName name="tblEnd_1_ORG_TERRITORY">'Сведения по территориям'!$K$14</definedName>
    <definedName name="tblEnd_1_ORG_VD">'Общая информация по ВД'!$AI$14</definedName>
    <definedName name="tblEnd_1_ORG_VD_TKO">'Виды объектов'!$I$17</definedName>
    <definedName name="tblEnd_1_P_PROCEDURE_TC">'Порядок ТП'!$H$41</definedName>
    <definedName name="tblEnd_1_P_T_TERMS">Договоры!$F$28</definedName>
    <definedName name="tblEnd_1_Q_LIMIT">Ограничения!$K$40</definedName>
    <definedName name="tblEnd_1_Q_PH">'Потребительские характеристики'!$K$21</definedName>
    <definedName name="tblEnd_1_Q_TP">ТП!$I$23</definedName>
    <definedName name="tblEnd_1_R_B_Purch">'Сведения о закупках'!$G$15</definedName>
    <definedName name="tblEnd_1_R_Offer">Предложение!$L$340</definedName>
    <definedName name="tblEnd_1_ROIV_CASE">'Дела об установлении тарифов'!$K$12</definedName>
    <definedName name="tblEnd_1_ROIV_CASE_PUC">'Дела об утверждении ПУЦ'!$K$12</definedName>
    <definedName name="tblEnd_1_ROIV_INFO">'Орган регулирования'!$F$25</definedName>
    <definedName name="tblEnd_1_ROIV_ORG">'Перечень организаций'!$I$11</definedName>
    <definedName name="tblEnd_1_ROIV_OTV">'Привлечение к ответственности'!$M$16</definedName>
    <definedName name="tblEnd_1_TARIFF_A">'ТС. Т-ТЭ | &gt;=25МВт'!$AL$58</definedName>
    <definedName name="tblEnd_1_TARIFF_A_COLDVSNA">'ХВС. Т-пит'!$AJ$54</definedName>
    <definedName name="tblEnd_1_TARIFF_A_HOTVSNA">'ГВС. Т-гор.вода'!$AR$55</definedName>
    <definedName name="tblEnd_1_TARIFF_A_VOTV">'ВО. Т-во'!$AJ$54</definedName>
    <definedName name="tblEnd_1_TARIFF_B">'ТС. Т-ТЭ | ТСО'!$AT$80</definedName>
    <definedName name="tblEnd_1_TARIFF_B_COLDVSNA">'ХВС. Т-тех'!$AJ$54</definedName>
    <definedName name="tblEnd_1_TARIFF_B_HOTVSNA">'ГВС. Т-транс'!$AR$55</definedName>
    <definedName name="tblEnd_1_TARIFF_B_VOTV">'ВО. Т-транс'!$AJ$54</definedName>
    <definedName name="tblEnd_1_TARIFF_C">'ТС. Т-ТН'!$AL$58</definedName>
    <definedName name="tblEnd_1_TARIFF_C_COLDVSNA">'ХВС. Т-транс'!$AJ$54</definedName>
    <definedName name="tblEnd_1_TARIFF_C_HOTVSNA">'ГВС. Т-подкл'!$BB$64</definedName>
    <definedName name="tblEnd_1_TARIFF_C_VOTV">'ВО. Т-подкл'!$BB$64</definedName>
    <definedName name="tblEnd_1_TARIFF_D">'ТС. Т-гор.вода'!$AP$66</definedName>
    <definedName name="tblEnd_1_TARIFF_D_COLDVSNA">'ХВС. Т-подвоз'!$AJ$54</definedName>
    <definedName name="tblEnd_1_TARIFF_E_COLDVSNA">'ХВС. Т-подкл'!$BB$64</definedName>
    <definedName name="tblEnd_1_TARIFF_E1">'ТС. Т-передача ТЭ'!$AL$58</definedName>
    <definedName name="tblEnd_1_TARIFF_E2">'ТС. Т-передача ТН'!$AL$58</definedName>
    <definedName name="tblEnd_1_TARIFF_F">'ТС. Резерв мощности'!$AL$58</definedName>
    <definedName name="tblEnd_1_TARIFF_G">'ТС. Т-подкл'!$AT$63</definedName>
    <definedName name="tblEnd_1_TARIFF_H">'ТС. Т-подкл(инд)'!$AJ$57</definedName>
    <definedName name="tblEnd_1_TARIFF_I">'ТС. Т-ТЭ | предел'!$AL$54</definedName>
    <definedName name="tblEnd_1_TARIFF_I_1">'ТС. Т-ТЭ | индикат'!$AL$58</definedName>
    <definedName name="tblEnd_1_TERRITORY">'Список территорий'!$I$18</definedName>
    <definedName name="tblStart_1_B_FHD">'Показатели ФХД'!$I$30</definedName>
    <definedName name="tblStart_1_B_FHD_TKO">'ТКО. Показатели ФХД'!$I$15</definedName>
    <definedName name="tblStart_1_B_FHD_TKO_TRANS">'ТКО. Транс. Показатели ФХД'!$I$15</definedName>
    <definedName name="tblStart_1_B_KNE">'Показатели КНЭ'!$I$12</definedName>
    <definedName name="tblStart_1_B_OTEP">'Показатели ОТЭП'!$M$15</definedName>
    <definedName name="tblStart_1_B_STANDARTS">'Стандарты качества'!$L$10</definedName>
    <definedName name="tblStart_1_CHANGE_INFO">'Сведения об изменении'!$E$12</definedName>
    <definedName name="tblStart_1_DIFFERENTIATION">Дифференциация!$E$13</definedName>
    <definedName name="tblStart_1_DIFFERENTIATION_TARIFF">'Перечень тарифов'!$G$13</definedName>
    <definedName name="tblStart_1_DIFFERENTIATION_TKO">'Дифференциация тариф показатель'!$K$11</definedName>
    <definedName name="tblStart_1_ED">ЭД!$E$12</definedName>
    <definedName name="tblStart_1_IP_DETAILED">'ИП. Детализация'!$I$13</definedName>
    <definedName name="tblStart_1_IP_FIN_PLAN">'ИП. Финансовый план'!$J$14</definedName>
    <definedName name="tblStart_1_IP_MAIN">ИП!$H$11</definedName>
    <definedName name="tblStart_1_IP_QRE">'ИП. КНЭ'!$O$18</definedName>
    <definedName name="tblStart_1_OFFER">Предложение!$H$22</definedName>
    <definedName name="tblStart_1_ORG_INFO">'Общая информация об организации'!$F$13</definedName>
    <definedName name="tblStart_1_ORG_TERRITORY">'Сведения по территориям'!$G$12</definedName>
    <definedName name="tblStart_1_ORG_VD">'Общая информация по ВД'!$F$12</definedName>
    <definedName name="tblStart_1_ORG_VD_TKO">'Виды объектов'!$E$14</definedName>
    <definedName name="tblStart_1_P_PROCEDURE_TC">'Порядок ТП'!$G$22</definedName>
    <definedName name="tblStart_1_P_T_TERMS">Договоры!$F$14</definedName>
    <definedName name="tblStart_1_Q_LIMIT">Ограничения!$I$32</definedName>
    <definedName name="tblStart_1_Q_PH">'Потребительские характеристики'!$I$19</definedName>
    <definedName name="tblStart_1_Q_TP">ТП!$H$15</definedName>
    <definedName name="tblStart_1_R_B_Purch">'Сведения о закупках'!$F$10</definedName>
    <definedName name="tblStart_1_R_Offer">Предложение!$H$22</definedName>
    <definedName name="tblStart_1_ROIV_CASE">'Дела об установлении тарифов'!$G$10</definedName>
    <definedName name="tblStart_1_ROIV_CASE_PUC">'Дела об утверждении ПУЦ'!$G$10</definedName>
    <definedName name="tblStart_1_ROIV_INFO">'Орган регулирования'!$F$12</definedName>
    <definedName name="tblStart_1_ROIV_ORG">'Перечень организаций'!$F$9</definedName>
    <definedName name="tblStart_1_ROIV_OTV">'Привлечение к ответственности'!$K$13</definedName>
    <definedName name="tblStart_1_TARIFF_A">'ТС. Т-ТЭ | &gt;=25МВт'!$AD$43</definedName>
    <definedName name="tblStart_1_TARIFF_A_COLDVSNA">'ХВС. Т-пит'!$AC$41</definedName>
    <definedName name="tblStart_1_TARIFF_A_HOTVSNA">'ГВС. Т-гор.вода'!$AG$42</definedName>
    <definedName name="tblStart_1_TARIFF_A_VOTV">'ВО. Т-во'!$AC$41</definedName>
    <definedName name="tblStart_1_TARIFF_B">'ТС. Т-ТЭ | ТСО'!$AD$43</definedName>
    <definedName name="tblStart_1_TARIFF_B_COLDVSNA">'ХВС. Т-тех'!$AC$41</definedName>
    <definedName name="tblStart_1_TARIFF_B_HOTVSNA">'ГВС. Т-транс'!$AG$42</definedName>
    <definedName name="tblStart_1_TARIFF_B_VOTV">'ВО. Т-транс'!$AC$41</definedName>
    <definedName name="tblStart_1_TARIFF_C">'ТС. Т-ТН'!$AD$43</definedName>
    <definedName name="tblStart_1_TARIFF_C_COLDVSNA">'ХВС. Т-транс'!$AC$41</definedName>
    <definedName name="tblStart_1_TARIFF_C_HOTVSNA">'ГВС. Т-подкл'!$AD$46</definedName>
    <definedName name="tblStart_1_TARIFF_C_VOTV">'ВО. Т-подкл'!$AD$46</definedName>
    <definedName name="tblStart_1_TARIFF_D">'ТС. Т-гор.вода'!$AG$49</definedName>
    <definedName name="tblStart_1_TARIFF_D_COLDVSNA">'ХВС. Т-подвоз'!$AC$41</definedName>
    <definedName name="tblStart_1_TARIFF_E_COLDVSNA">'ХВС. Т-подкл'!$AD$46</definedName>
    <definedName name="tblStart_1_TARIFF_E1">'ТС. Т-передача ТЭ'!$AD$43</definedName>
    <definedName name="tblStart_1_TARIFF_E2">'ТС. Т-передача ТН'!$AD$43</definedName>
    <definedName name="tblStart_1_TARIFF_F">'ТС. Резерв мощности'!$AD$43</definedName>
    <definedName name="tblStart_1_TARIFF_G">'ТС. Т-подкл'!$AB$45</definedName>
    <definedName name="tblStart_1_TARIFF_H">'ТС. Т-подкл(инд)'!$AB$42</definedName>
    <definedName name="tblStart_1_TARIFF_I">'ТС. Т-ТЭ | предел'!$AD$43</definedName>
    <definedName name="tblStart_1_TARIFF_I_1">'ТС. Т-ТЭ | индикат'!$AD$43</definedName>
    <definedName name="tblStart_1_TERRITORY">'Список территорий'!$G$12</definedName>
    <definedName name="TECH_ORG_ID">Титульный!$F$1</definedName>
    <definedName name="TEMPLATE_DATA_POINT">DATA_NPA!$T$11:$X$16</definedName>
    <definedName name="TEMPLATE_DATA_POINT_FHD">DATA_NPA!$T$18:$W$146</definedName>
    <definedName name="TEMPLATE_GROUP">TEHSHEET!$E$45</definedName>
    <definedName name="TEMPLATE_NAME_FORM_LIST">DATA_FORMS!$D$3:$H$35</definedName>
    <definedName name="TEMPLATE_NOTE_POINT">DATA_NPA!$Z$11:$AD$15</definedName>
    <definedName name="TEMPLATE_NOTE_POINT_FHD">DATA_NPA!$Z$18:$AD$146</definedName>
    <definedName name="TEMPLATE_NUMBER_FORM_LIST">DATA_FORMS!$D$2:$H$2</definedName>
    <definedName name="TEMPLATE_NUMBER_POINT_FHD">DATA_NPA!$O$18:$S$146</definedName>
    <definedName name="TEMPLATE_ORG_DATA_POINT">DATA_NPA!$Z$3:$AD$9</definedName>
    <definedName name="TEMPLATE_SPHERE">TEHSHEET!$E$36</definedName>
    <definedName name="TEMPLATE_SPHERE_LIST">DATA_FORMS!$D$1:$H$1</definedName>
    <definedName name="TEMPLATE_SPHERE_LIST_FOR_NOTE">DATA_NPA!$Z$2:$AD$2</definedName>
    <definedName name="TEMPLATE_SPHERE_LIST_FOR_NPA">DATA_NPA!$T$2:$X$2</definedName>
    <definedName name="TEMPLATE_SPHERE_RUS">TEHSHEET!$F$36</definedName>
    <definedName name="TEMPLATE_SPHERE_RUS_2">TEHSHEET!$G$36</definedName>
    <definedName name="TemplateState">TEHSHEET!$E$16</definedName>
    <definedName name="TER_ID">TEHSHEET!$E$62</definedName>
    <definedName name="TERMS_LINK">Договоры!$F$12:$F$22</definedName>
    <definedName name="TERMS_NAME_FORM">DATA_FORMS!$C$5</definedName>
    <definedName name="TERMS_NUM_CONTRACT_COLUMN_MARKER">Договоры!$D$8</definedName>
    <definedName name="TERMS_P_1">DATA_NPA!$M$148</definedName>
    <definedName name="TERMS_TKO_TRANS_DATA">Договоры!$E$25:$F$26</definedName>
    <definedName name="TERRITORY_CheckC">'Список территорий'!$E$11:$I$17</definedName>
    <definedName name="TERRITORY_ID">TEHSHEET!$E$56</definedName>
    <definedName name="TERRITORY_LIST_ID">'Список территорий'!$F$11:$F$17</definedName>
    <definedName name="TERRITORY_MO_LIST">'Список территорий'!$H$11:$H$17</definedName>
    <definedName name="TERRITORY_MR_LIST">'Список территорий'!$G$11:$G$17</definedName>
    <definedName name="TERRITORY_NAME_COL">'Список территорий'!$G$1:$I$1</definedName>
    <definedName name="TERRITORY_POINT_NUMBER_1">'Список территорий'!$A:$A</definedName>
    <definedName name="TITLE_BUHG_FLAG">Титульный!$F$53</definedName>
    <definedName name="TITLE_CONNECTION_FLAG">Титульный!$F$49</definedName>
    <definedName name="TITLE_DATA_TYPE">Титульный!$F$17</definedName>
    <definedName name="TITLE_DATE_BUHG">Титульный!$F$54</definedName>
    <definedName name="TITLE_DATE_CHANGE">Титульный!$F$18</definedName>
    <definedName name="TITLE_DATE_CHANGE_PERIOD">Титульный!$F$19</definedName>
    <definedName name="TITLE_DATE_FIL">Титульный!$F$13</definedName>
    <definedName name="TITLE_DATE_PARKING">Титульный!$H$5</definedName>
    <definedName name="TITLE_DATE_PR">Титульный!$F$21</definedName>
    <definedName name="TITLE_DATE_PR_CHANGE">Титульный!$F$26</definedName>
    <definedName name="TITLE_DIFFERENTIATION_TYPE">Титульный!$F$41</definedName>
    <definedName name="TITLE_FIL_YEAR">Титульный!$F$14</definedName>
    <definedName name="TITLE_FLAG_DIFF_SELLER">Титульный!$F$46</definedName>
    <definedName name="TITLE_FLAG_INTERNET">Титульный!$F$39</definedName>
    <definedName name="TITLE_FLAG_IP">Титульный!$F$58</definedName>
    <definedName name="TITLE_FLAG_IP_DETAILED">Титульный!$F$60</definedName>
    <definedName name="TITLE_FLAG_NO_DIFF_COMPONENT">Титульный!$F$47</definedName>
    <definedName name="TITLE_FLAG_NOT_REG_PRICE">Титульный!$F$51</definedName>
    <definedName name="TITLE_FLAG_OTV_ROIV">Титульный!$F$10</definedName>
    <definedName name="TITLE_FLAG_REG_PRICE_IP">Титульный!$F$59</definedName>
    <definedName name="TITLE_FLAG_TKO_TRANS">Титульный!$F$62</definedName>
    <definedName name="TITLE_FLAG_TOP80_ACTIVITY">Титульный!$F$56</definedName>
    <definedName name="TITLE_HEADER_PR_CHANGE">Титульный!$F$25</definedName>
    <definedName name="TITLE_IP_DETAILED_METHOD_LIST">TEHSHEET!$AZ$15:$AZ$17</definedName>
    <definedName name="TITLE_IST_PUB">Титульный!$F$24</definedName>
    <definedName name="TITLE_IST_PUB_CHANGE">Титульный!$F$29</definedName>
    <definedName name="TITLE_NAME_OR_PR">Титульный!$F$23</definedName>
    <definedName name="TITLE_NAME_OR_PR_CHANGE">Титульный!$F$28</definedName>
    <definedName name="TITLE_NUMBER_PR">Титульный!$F$22</definedName>
    <definedName name="TITLE_NUMBER_PR_CHANGE">Титульный!$F$27</definedName>
    <definedName name="TITLE_PERIOD_END">Титульный!$F$12</definedName>
    <definedName name="TITLE_PERIOD_START">Титульный!$F$11</definedName>
    <definedName name="TITLE_PRICE_INDICATORS_GRAPH">Титульный!$F$44</definedName>
    <definedName name="TITLE_PRICE_INDICATORS_LEVEL">Титульный!$F$43</definedName>
    <definedName name="TITLE_STRUCTURE_INFO_ROIV">Титульный!$F$9</definedName>
    <definedName name="TITLE_TYPE_ORG">Титульный!$F$36</definedName>
    <definedName name="TKO_PT_VED_ID">TEHSHEET!$CC$19:$CC$24</definedName>
    <definedName name="TKO_PT_VED_NAME">TEHSHEET!$CD$19:$CD$24</definedName>
    <definedName name="TKO_PT_VED_NAME_LIST">TEHSHEET!$CC$19:$CD$24</definedName>
    <definedName name="TP_NAME_FORM">DATA_FORMS!$C$3</definedName>
    <definedName name="TP_NUMBER_FORM">DATA_FORMS!$C$2</definedName>
    <definedName name="TP_P_A">DATA_NPA!$M$11</definedName>
    <definedName name="TP_P_B">DATA_NPA!$M$12</definedName>
    <definedName name="TP_P_G">DATA_NPA!$M$15</definedName>
    <definedName name="TP_P_NOTE_A">DATA_NPA!$N$11</definedName>
    <definedName name="TP_P_NOTE_B">DATA_NPA!$N$12</definedName>
    <definedName name="TP_P_NOTE_G">DATA_NPA!$N$15</definedName>
    <definedName name="TP_P_NOTE_G_1">DATA_NPA!$N$16</definedName>
    <definedName name="TP_P_NOTE_V">DATA_NPA!$N$13</definedName>
    <definedName name="TP_P_NOTE_V_1">DATA_NPA!$N$14</definedName>
    <definedName name="TP_P_V">DATA_NPA!$M$13</definedName>
    <definedName name="TP_P_V_1">DATA_NPA!$M$14</definedName>
    <definedName name="TYPE_TKO_LIST">TEHSHEET!$AZ$85:$AZ$87</definedName>
    <definedName name="UNIT_CONNECT_LIST">TEHSHEET!$AZ$106:$AZ$108</definedName>
    <definedName name="VDET_END_DATE">TEHSHEET!$F$32</definedName>
    <definedName name="VDET_START_DATE">TEHSHEET!$E$32</definedName>
    <definedName name="version">Инструкция!$B$3</definedName>
    <definedName name="VOTV_FIN_SRC_LIST">TEHSHEET!$BL$4:$BL$36</definedName>
    <definedName name="VOTV_FIN_SRC_VLD_LIST">TEHSHEET!$BL$39:$BL$62</definedName>
    <definedName name="VOTV_IP_EVENT_CI_STAGE_LIST">TEHSHEET!$BL$97:$BL$100</definedName>
    <definedName name="VOTV_IP_EVENT_GROUP_LIST">TEHSHEET!$BL$69:$BL$76</definedName>
    <definedName name="VOTV_IP_EVENT_SUBGROUP_1_LIST">TEHSHEET!$BL$80:$BL$83</definedName>
    <definedName name="VOTV_IP_EVENT_SUBGROUP_3_LIST">TEHSHEET!$BL$87:$BL$88</definedName>
    <definedName name="VOTV_IP_EVENT_SUBGROUP_5_LIST">TEHSHEET!$BL$92:$BL$93</definedName>
    <definedName name="VOTV_IP_EVENT_TYPE_LIST">TEHSHEET!$BL$108</definedName>
    <definedName name="VOTV_PT_VED_ID">TEHSHEET!$BZ$19:$BZ$21</definedName>
    <definedName name="VOTV_PT_VED_NAME">TEHSHEET!$CA$19:$CA$21</definedName>
    <definedName name="VOTV_PT_VED_NAME_LIST">TEHSHEET!$BZ$19:$CA$21</definedName>
    <definedName name="VOTV_TARIFF_A_VOTV_ADD_HL_COLUMN_MARKER">'ВО. Т-во'!$T$34</definedName>
    <definedName name="VOTV_TARIFF_A_VOTV_DEL_HL_DATA_DIFF_COLUMN_MARKER">'ВО. Т-во'!$R$34</definedName>
    <definedName name="VOTV_TARIFF_A_VOTV_DEL_HL_FLAG_DIFF_COLUMN_MARKER">'ВО. Т-во'!$P$34</definedName>
    <definedName name="VOTV_TARIFF_A_VOTV_DEL_HL_GC_COLUMN_MARKER">'ВО. Т-во'!$Q$34</definedName>
    <definedName name="VOTV_TARIFF_A_VOTV_DELETE_PERIOD_ROW_MARKER">'ВО. Т-во'!$O$35</definedName>
    <definedName name="VOTV_TARIFF_A_VOTV_FLAG_BLOCK_COLUMN_MARKER">'ВО. Т-во'!$L$36</definedName>
    <definedName name="VOTV_TARIFF_A_VOTV_FLAG_BLOCK_ROW_MARKER">'ВО. Т-во'!$O$20</definedName>
    <definedName name="VOTV_TARIFF_A_VOTV_NUM_CS_COLUMN_MARKER">'ВО. Т-во'!$G$36</definedName>
    <definedName name="VOTV_TARIFF_A_VOTV_NUM_DATA_DIFF_COLUMN_MARKER">'ВО. Т-во'!$K$36</definedName>
    <definedName name="VOTV_TARIFF_A_VOTV_NUM_FLAG_DIFF_COLUMN_MARKER">'ВО. Т-во'!$I$36</definedName>
    <definedName name="VOTV_TARIFF_A_VOTV_NUM_GC_COLUMN_MARKER">'ВО. Т-во'!$J$36</definedName>
    <definedName name="VOTV_TARIFF_A_VOTV_NUM_NTAR_COLUMN_MARKER">'ВО. Т-во'!$E$36</definedName>
    <definedName name="VOTV_TARIFF_A_VOTV_NUM_TER_COLUMN_MARKER">'ВО. Т-во'!$F$36</definedName>
    <definedName name="VOTV_TARIFF_B_VOTV_ADD_HL_COLUMN_MARKER">'ВО. Т-транс'!$T$34</definedName>
    <definedName name="VOTV_TARIFF_B_VOTV_DEL_HL_DATA_DIFF_COLUMN_MARKER">'ВО. Т-транс'!$R$34</definedName>
    <definedName name="VOTV_TARIFF_B_VOTV_DEL_HL_FLAG_DIFF_COLUMN_MARKER">'ВО. Т-транс'!$P$34</definedName>
    <definedName name="VOTV_TARIFF_B_VOTV_DEL_HL_GC_COLUMN_MARKER">'ВО. Т-транс'!$Q$34</definedName>
    <definedName name="VOTV_TARIFF_B_VOTV_DELETE_PERIOD_ROW_MARKER">'ВО. Т-транс'!$O$35</definedName>
    <definedName name="VOTV_TARIFF_B_VOTV_FLAG_BLOCK_COLUMN_MARKER">'ВО. Т-транс'!$L$36</definedName>
    <definedName name="VOTV_TARIFF_B_VOTV_FLAG_BLOCK_ROW_MARKER">'ВО. Т-транс'!$O$20</definedName>
    <definedName name="VOTV_TARIFF_B_VOTV_NUM_CS_COLUMN_MARKER">'ВО. Т-транс'!$G$36</definedName>
    <definedName name="VOTV_TARIFF_B_VOTV_NUM_DATA_DIFF_COLUMN_MARKER">'ВО. Т-транс'!$K$36</definedName>
    <definedName name="VOTV_TARIFF_B_VOTV_NUM_FLAG_DIFF_COLUMN_MARKER">'ВО. Т-транс'!$I$36</definedName>
    <definedName name="VOTV_TARIFF_B_VOTV_NUM_GC_COLUMN_MARKER">'ВО. Т-транс'!$J$36</definedName>
    <definedName name="VOTV_TARIFF_B_VOTV_NUM_NTAR_COLUMN_MARKER">'ВО. Т-транс'!$E$36</definedName>
    <definedName name="VOTV_TARIFF_B_VOTV_NUM_TER_COLUMN_MARKER">'ВО. Т-транс'!$F$36</definedName>
    <definedName name="VOTV_TARIFF_C_VOTV_ADD_HL_COLUMN_MARKER">'ВО. Т-подкл'!$T$38</definedName>
    <definedName name="VOTV_TARIFF_C_VOTV_ADD_HL_DIAMETERS_COLUMN_MARKER">'ВО. Т-подкл'!$AK$38</definedName>
    <definedName name="VOTV_TARIFF_C_VOTV_ADD_HL_LEN_COLUMN_MARKER">'ВО. Т-подкл'!$AO$38</definedName>
    <definedName name="VOTV_TARIFF_C_VOTV_ADD_HL_LOAD_COLUMN_MARKER">'ВО. Т-подкл'!$AG$38</definedName>
    <definedName name="VOTV_TARIFF_C_VOTV_ADD_HL_NETS_COLUMN_MARKER">'ВО. Т-подкл'!$AS$38</definedName>
    <definedName name="VOTV_TARIFF_C_VOTV_DEL_HL_DATA_DIFF_COLUMN_MARKER">'ВО. Т-подкл'!$R$38</definedName>
    <definedName name="VOTV_TARIFF_C_VOTV_DEL_HL_DIAMETERS_COLUMN_MARKER">'ВО. Т-подкл'!$AI$38</definedName>
    <definedName name="VOTV_TARIFF_C_VOTV_DEL_HL_FLAG_DIFF_COLUMN_MARKER">'ВО. Т-подкл'!$P$38</definedName>
    <definedName name="VOTV_TARIFF_C_VOTV_DEL_HL_GC_COLUMN_MARKER">'ВО. Т-подкл'!$Q$38</definedName>
    <definedName name="VOTV_TARIFF_C_VOTV_DEL_HL_LEN_COLUMN_MARKER">'ВО. Т-подкл'!$AM$38</definedName>
    <definedName name="VOTV_TARIFF_C_VOTV_DEL_HL_LOAD_COLUMN_MARKER">'ВО. Т-подкл'!$AE$38</definedName>
    <definedName name="VOTV_TARIFF_C_VOTV_DEL_HL_NETS_COLUMN_MARKER">'ВО. Т-подкл'!$AQ$38</definedName>
    <definedName name="VOTV_TARIFF_C_VOTV_DELETE_PERIOD_ROW_MARKER">'ВО. Т-подкл'!$O$39</definedName>
    <definedName name="VOTV_TARIFF_C_VOTV_FLAG_BLOCK_COLUMN_MARKER">'ВО. Т-подкл'!$L$44</definedName>
    <definedName name="VOTV_TARIFF_C_VOTV_FLAG_BLOCK_ROW_MARKER">'ВО. Т-подкл'!$O$24</definedName>
    <definedName name="VOTV_TARIFF_C_VOTV_NUM_CS_COLUMN_MARKER">'ВО. Т-подкл'!$G$44</definedName>
    <definedName name="VOTV_TARIFF_C_VOTV_NUM_DATA_DIFF_COLUMN_MARKER">'ВО. Т-подкл'!$K$44</definedName>
    <definedName name="VOTV_TARIFF_C_VOTV_NUM_DIAMETERS_COLUMN_MARKER">'ВО. Т-подкл'!$AJ$38</definedName>
    <definedName name="VOTV_TARIFF_C_VOTV_NUM_FLAG_DIFF_COLUMN_MARKER">'ВО. Т-подкл'!$I$44</definedName>
    <definedName name="VOTV_TARIFF_C_VOTV_NUM_GC_COLUMN_MARKER">'ВО. Т-подкл'!$J$44</definedName>
    <definedName name="VOTV_TARIFF_C_VOTV_NUM_LEN_COLUMN_MARKER">'ВО. Т-подкл'!$AN$38</definedName>
    <definedName name="VOTV_TARIFF_C_VOTV_NUM_LOAD_COLUMN_MARKER">'ВО. Т-подкл'!$AF$38</definedName>
    <definedName name="VOTV_TARIFF_C_VOTV_NUM_NETS_COLUMN_MARKER">'ВО. Т-подкл'!$AR$38</definedName>
    <definedName name="VOTV_TARIFF_C_VOTV_NUM_NTAR_COLUMN_MARKER">'ВО. Т-подкл'!$E$44</definedName>
    <definedName name="VOTV_TARIFF_C_VOTV_NUM_TER_COLUMN_MARKER">'ВО. Т-подкл'!$F$44</definedName>
    <definedName name="VSNA_FIN_SRC_LIST">TEHSHEET!$BJ$4:$BJ$34</definedName>
    <definedName name="VSNA_FIN_SRC_VLD_LIST">TEHSHEET!$BJ$39:$BJ$60</definedName>
    <definedName name="VSNA_IP_EVENT_CI_STAGE_LIST">TEHSHEET!$BJ$97:$BJ$100</definedName>
    <definedName name="VSNA_IP_EVENT_GROUP_LIST">TEHSHEET!$BJ$69:$BJ$76</definedName>
    <definedName name="VSNA_IP_EVENT_SUBGROUP_1_LIST">TEHSHEET!$BJ$80:$BJ$83</definedName>
    <definedName name="VSNA_IP_EVENT_SUBGROUP_3_LIST">TEHSHEET!$BJ$87:$BJ$88</definedName>
    <definedName name="VSNA_IP_EVENT_SUBGROUP_5_LIST">TEHSHEET!$BJ$92:$BJ$93</definedName>
    <definedName name="VSNA_IP_EVENT_TYPE_LIST">TEHSHEET!$BJ$108</definedName>
    <definedName name="VTAR_ID">TEHSHEET!$E$59</definedName>
    <definedName name="Y_N_DIFFERENTIATION_AREA">Дифференциация!$F$12:$F$16</definedName>
    <definedName name="Y_N_DIFFERENTIATION_SYSTEM">Дифференциация!$J$12:$J$16</definedName>
    <definedName name="YEAR_IP_LIST">TEHSHEET!$BE$2:$BE$72</definedName>
    <definedName name="year_list">TEHSHEET!$C$2:$C$6</definedName>
    <definedName name="year_list1">TEHSHEET!$B$2:$B$27</definedName>
    <definedName name="REESTR_IP_RANGE">REESTR_IP!$A$2:$I$5</definedName>
    <definedName name="VD_LIST">REESTR_VED!$A$2:$B$11</definedName>
    <definedName name="VD_ID_LIST">REESTR_VED!$A$2:$A$11</definedName>
    <definedName name="VD_NAME_LIST">REESTR_VED!$B$2:$B$11</definedName>
    <definedName name="et_B_FHD20_1">et_union_hor!$127:$135</definedName>
    <definedName name="ter_1">'Список территорий'!$G$13:$I$15</definedName>
    <definedName name="pt_ntar_30">'ТС. Т-ТЭ | ТСО'!$57:$78</definedName>
    <definedName name="pt_ter_30">'ТС. Т-ТЭ | ТСО'!$58:$77</definedName>
    <definedName name="pt_cs_30">'ТС. Т-ТЭ | ТСО'!$59:$76</definedName>
    <definedName name="pt_ist_te_30">'ТС. Т-ТЭ | ТСО'!$60:$75</definedName>
    <definedName name="DESCRIPTION_TERRITORY">REESTR_DS!$B$2</definedName>
    <definedName name="_xlnm._FilterDatabase" localSheetId="59">Проверка!$B$4:$E$5</definedName>
  </definedNames>
  <calcPr calcId="0" iterate="1" iterateCount="100" iterateDelta="0.001"/>
</workbook>
</file>

<file path=xl/comments1.xml><?xml version="1.0" encoding="utf-8"?>
<comments xmlns="http://schemas.openxmlformats.org/spreadsheetml/2006/main">
  <authors>
    <author>Author</author>
  </authors>
  <commentList>
    <comment ref="E37" authorId="0">
      <text>
        <r>
          <rPr>
            <sz val="9"/>
            <color indexed="81"/>
            <rFont val="Arial"/>
            <family val="2"/>
          </rPr>
          <t>ОСН - Общая система налогообложения
УСН - Упрощённая система налогообложения
ЕСХН - Единый сельскохозяйственный налог
ПСН - Патентная система налогообложения
НПД - Налог на профессиональный доход</t>
        </r>
      </text>
    </comment>
  </commentList>
</comments>
</file>

<file path=xl/comments2.xml><?xml version="1.0" encoding="utf-8"?>
<comments xmlns="http://schemas.openxmlformats.org/spreadsheetml/2006/main">
  <authors>
    <author>Author</author>
  </authors>
  <commentList>
    <comment ref="AZ1" authorId="0">
      <text>
        <r>
          <rPr>
            <sz val="9"/>
            <color indexed="81"/>
            <rFont val="Tahoma"/>
            <family val="2"/>
          </rPr>
          <t>Тип организации</t>
        </r>
      </text>
    </comment>
    <comment ref="L6" authorId="0">
      <text>
        <r>
          <rPr>
            <sz val="9"/>
            <color indexed="81"/>
            <rFont val="Tahoma"/>
            <family val="2"/>
          </rPr>
          <t>тут будет больше 0, если выбран хотя бы один метод, отличный от экономически обоснованных</t>
        </r>
      </text>
    </comment>
  </commentList>
</comments>
</file>

<file path=xl/comments3.xml><?xml version="1.0" encoding="utf-8"?>
<comments xmlns="http://schemas.openxmlformats.org/spreadsheetml/2006/main">
  <authors>
    <author>Author</author>
  </authors>
  <commentList>
    <comment ref="P2" authorId="0">
      <text>
        <r>
          <rPr>
            <sz val="9"/>
            <color indexed="81"/>
            <rFont val="Arial"/>
            <family val="2"/>
          </rPr>
          <t>сюда же для некоторых формул может входить:
- VOTV
- HOTVSNA</t>
        </r>
      </text>
    </comment>
    <comment ref="U2" authorId="0">
      <text>
        <r>
          <rPr>
            <sz val="9"/>
            <color indexed="81"/>
            <rFont val="Arial"/>
            <family val="2"/>
          </rPr>
          <t>сюда же для некоторых формул может входить:
- VOTV
- HOTVSNA</t>
        </r>
      </text>
    </comment>
  </commentList>
</comments>
</file>

<file path=xl/sharedStrings.xml><?xml version="1.0" encoding="utf-8"?>
<sst xmlns="http://schemas.openxmlformats.org/spreadsheetml/2006/main" count="13275" uniqueCount="3486">
  <si>
    <t xml:space="preserve"> (требуется обновление)</t>
  </si>
  <si>
    <t>Код отчёта: PP110.OPEN.INFO.REQUEST.HEAT.EIAS</t>
  </si>
  <si>
    <t>Версия отчёта: 1.1.1</t>
  </si>
  <si>
    <t>Условные обозначения</t>
  </si>
  <si>
    <t>A</t>
  </si>
  <si>
    <t xml:space="preserve"> - предназначенные для заполнения</t>
  </si>
  <si>
    <t xml:space="preserve"> - ссылки и автозаполняемые поля</t>
  </si>
  <si>
    <t xml:space="preserve"> - с формулами и константами</t>
  </si>
  <si>
    <t xml:space="preserve"> - обязательные для заполнения</t>
  </si>
  <si>
    <t>Работа с реестрами</t>
  </si>
  <si>
    <t>Если в предложенном Вам списке необходимая организация, территория или объект отсутствуют, обновите списки с помощью элементов управления на листах. Если после обновления Вам не удалось найти необходимую позицию в списке, обратитесь к ответственному за поддержание реестра Вашего региона либо в Отдел сопровождения пользователей ЕИАС.</t>
  </si>
  <si>
    <t>Проверка отчёта</t>
  </si>
  <si>
    <t>• При сохранении отчётной формы осуществляется проверка корректности данных_x000D_
• Для каждого сообщения возможны 2 статуса: ошибка и предупреждение_x000D_
• При наличии сообщений со статусом «Ошибка» файл будет отклонён системой и не будет загружен в хранилище данных, сообщения со статусом «Предупреждение» носят информационный характер, и такой файл будет принят к обработке системой</t>
  </si>
  <si>
    <t>26415765</t>
  </si>
  <si>
    <t>Flag_Row_Size</t>
  </si>
  <si>
    <t>Субъект РФ</t>
  </si>
  <si>
    <t>Курганская область</t>
  </si>
  <si>
    <t>Состав раскрываемой информации</t>
  </si>
  <si>
    <t>Привлечение к ответственности за указанный период отсутствует</t>
  </si>
  <si>
    <t>нет</t>
  </si>
  <si>
    <t>PRICE, REQUEST</t>
  </si>
  <si>
    <t>Начало_x000D_
периода регулирования</t>
  </si>
  <si>
    <t>Как заполнить?</t>
  </si>
  <si>
    <t>Начало периода регулирования</t>
  </si>
  <si>
    <t>Окончание_x000D_
периода регулирования</t>
  </si>
  <si>
    <t>Окончание периода регулирования</t>
  </si>
  <si>
    <t>ORG</t>
  </si>
  <si>
    <t>Дата_x000D_
предоставления информации</t>
  </si>
  <si>
    <t/>
  </si>
  <si>
    <t>Дата предоставления информации</t>
  </si>
  <si>
    <t>BALANCE, QUARTER, TERMS</t>
  </si>
  <si>
    <t>Год</t>
  </si>
  <si>
    <t>Отчётный период (год)</t>
  </si>
  <si>
    <t>QUARTER</t>
  </si>
  <si>
    <t>Квартал</t>
  </si>
  <si>
    <t>Отчётный период (квартал)</t>
  </si>
  <si>
    <t>Тип отчёта</t>
  </si>
  <si>
    <t>изменения в раскрытой ранее информации</t>
  </si>
  <si>
    <t>Дата внесения изменений в информацию, подлежащую раскрытию</t>
  </si>
  <si>
    <t>Отображается, если тип отчёта - изменение</t>
  </si>
  <si>
    <t>Данный блок предлагается заполнять из отчётной формы BALANCE.CALC.TARIFF.ххх.хххх</t>
  </si>
  <si>
    <t>184Т</t>
  </si>
  <si>
    <t>Наименование органа регулирования, принявшего решение об утверждении тарифов</t>
  </si>
  <si>
    <t>Источник официального опубликования решения</t>
  </si>
  <si>
    <t>Открывается, если Тип отчёта "изменения в раскрытой ранее информации"</t>
  </si>
  <si>
    <t>206Т</t>
  </si>
  <si>
    <t>Наименование органа регулирования, принявшего решение об изменении тарифов</t>
  </si>
  <si>
    <t>ПАО "КГК"</t>
  </si>
  <si>
    <t>Наименование (описание) обособленного подразделения</t>
  </si>
  <si>
    <t>ИНН</t>
  </si>
  <si>
    <t>4501122913</t>
  </si>
  <si>
    <t>КПП</t>
  </si>
  <si>
    <t>450101001</t>
  </si>
  <si>
    <t>Тип теплоснабжающей организации</t>
  </si>
  <si>
    <t>Регулируемая организация</t>
  </si>
  <si>
    <t>Система налогообложения</t>
  </si>
  <si>
    <t>ОСН</t>
  </si>
  <si>
    <t>Отсутствует Интернет в границах территории МО, где организация осуществляет регулируемые виды деятельности</t>
  </si>
  <si>
    <t>Опубликовать индикативный предельный уровень цен на тепловую энергию (мощность)</t>
  </si>
  <si>
    <t>График поэтапного равномерного доведения предельного уровня цены на тепловую энергию (мощность)</t>
  </si>
  <si>
    <r>
      <t xml:space="preserve">Тариф на горячую воду предлагается </t>
    </r>
    <r>
      <rPr>
        <b/>
        <charset val="204"/>
        <family val="2"/>
        <rFont val="Tahoma"/>
        <sz val="9"/>
      </rPr>
      <t>с (!)</t>
    </r>
    <r>
      <rPr>
        <charset val="204"/>
        <family val="2"/>
        <rFont val="Tahoma"/>
        <sz val="9"/>
      </rPr>
      <t xml:space="preserve"> разбивкой по поставщикам</t>
    </r>
  </si>
  <si>
    <t>да</t>
  </si>
  <si>
    <r>
      <t xml:space="preserve">Тариф на горячую воду предлагается </t>
    </r>
    <r>
      <rPr>
        <b/>
        <charset val="204"/>
        <family val="2"/>
        <rFont val="Tahoma"/>
        <sz val="9"/>
      </rPr>
      <t>без (!)</t>
    </r>
    <r>
      <rPr>
        <charset val="204"/>
        <family val="2"/>
        <rFont val="Tahoma"/>
        <sz val="9"/>
      </rPr>
      <t xml:space="preserve"> разбивки на компоненты</t>
    </r>
  </si>
  <si>
    <t>Организация осуществляет поставку товаров (оказание услуг) только по нерегулируемым ценам</t>
  </si>
  <si>
    <t>Регулируемая организация осуществляет сдачу годового бухгалтерского баланса в налоговые органы</t>
  </si>
  <si>
    <t>Дата направления годового бухгалтерского баланса в налоговые органы</t>
  </si>
  <si>
    <t>Превышает ли выручка от регулируемой деятельности 80% совокупной выручки за отчетный год</t>
  </si>
  <si>
    <t>Организация выполняет инвестиционную программу</t>
  </si>
  <si>
    <t>Детализация инвестиционных программ осуществляется</t>
  </si>
  <si>
    <t>Оператор по обращению с твёрдыми коммунальными отходами, осуществляет деятельность по транспортированию твёрдых коммунальных отходов</t>
  </si>
  <si>
    <t>Почтовый адрес регулируемой организации</t>
  </si>
  <si>
    <t>Россия, Курганская область,  640003, г. Курган, ул. Тимофея Невежина, дом 3</t>
  </si>
  <si>
    <t>Фамилия, имя, отчество руководителя</t>
  </si>
  <si>
    <t>Прибылев Александр Сергеевич</t>
  </si>
  <si>
    <t>Ответственный за заполнение формы</t>
  </si>
  <si>
    <t>Фамилия, имя, отчество</t>
  </si>
  <si>
    <t>Цыганков Е.С.</t>
  </si>
  <si>
    <t>Должность</t>
  </si>
  <si>
    <t>Начальник финансово-экономического управления</t>
  </si>
  <si>
    <t>Контактный телефон</t>
  </si>
  <si>
    <t>8 (3522) 63-53-59</t>
  </si>
  <si>
    <t>E-mail</t>
  </si>
  <si>
    <t>kgk-kurgan@kgk-kurgan.ru</t>
  </si>
  <si>
    <t>Flag_Col_Size</t>
  </si>
  <si>
    <t>МР</t>
  </si>
  <si>
    <t>МО</t>
  </si>
  <si>
    <t>ОКТМО</t>
  </si>
  <si>
    <t>Муниципальный район</t>
  </si>
  <si>
    <t>Муниципальное образование</t>
  </si>
  <si>
    <t>№ п/п</t>
  </si>
  <si>
    <t>Наименование</t>
  </si>
  <si>
    <t>3</t>
  </si>
  <si>
    <t>4</t>
  </si>
  <si>
    <t>6</t>
  </si>
  <si>
    <t>7</t>
  </si>
  <si>
    <t>размерженный МР</t>
  </si>
  <si>
    <t>флаг используемости территории на листе Перечень тарифов</t>
  </si>
  <si>
    <t>копия территорий</t>
  </si>
  <si>
    <t>МР (ОКТМО)</t>
  </si>
  <si>
    <t>ter_1</t>
  </si>
  <si>
    <t>82</t>
  </si>
  <si>
    <t>город Курган</t>
  </si>
  <si>
    <t>37701000</t>
  </si>
  <si>
    <t>2</t>
  </si>
  <si>
    <t>×</t>
  </si>
  <si>
    <t>83</t>
  </si>
  <si>
    <t>город Шадринск</t>
  </si>
  <si>
    <t>37705000</t>
  </si>
  <si>
    <t>77</t>
  </si>
  <si>
    <t>Шадринский муниципальный округ</t>
  </si>
  <si>
    <t>37538000</t>
  </si>
  <si>
    <t>Добавить МО</t>
  </si>
  <si>
    <t>Добавить территорию оказания услуг</t>
  </si>
  <si>
    <t>Добавить территорию действия тарифа</t>
  </si>
  <si>
    <t>Вид деятельности</t>
  </si>
  <si>
    <t>Дифференциация по территориям</t>
  </si>
  <si>
    <t>Дифференциация по централизованным системам</t>
  </si>
  <si>
    <t>да/нет</t>
  </si>
  <si>
    <t>1</t>
  </si>
  <si>
    <t>5</t>
  </si>
  <si>
    <t>8</t>
  </si>
  <si>
    <t>ID_DIFF</t>
  </si>
  <si>
    <t>VD</t>
  </si>
  <si>
    <t>AREA</t>
  </si>
  <si>
    <t>SYSTEM</t>
  </si>
  <si>
    <t>diff_1</t>
  </si>
  <si>
    <t>a</t>
  </si>
  <si>
    <t>Добавить централизованную систему</t>
  </si>
  <si>
    <t>Добавить описание территории</t>
  </si>
  <si>
    <t>Добавить вид деятельности</t>
  </si>
  <si>
    <t>Вид тарифа</t>
  </si>
  <si>
    <t>Наименование тарифа</t>
  </si>
  <si>
    <t>Дифференциация по_x000D_
 МО (территориям)</t>
  </si>
  <si>
    <t>Дифференциация по _x000D_
централизованным системам</t>
  </si>
  <si>
    <t>Дифференциация по источникам тепловой энергии</t>
  </si>
  <si>
    <t>Примечание</t>
  </si>
  <si>
    <t>Установлен для организации</t>
  </si>
  <si>
    <t>Описание</t>
  </si>
  <si>
    <t>TER_ID</t>
  </si>
  <si>
    <t>VTAR_ID</t>
  </si>
  <si>
    <t>VD_ID</t>
  </si>
  <si>
    <t>ID_VTAR</t>
  </si>
  <si>
    <t>ID_NTAR</t>
  </si>
  <si>
    <t>ID_TER</t>
  </si>
  <si>
    <t>ID_CS</t>
  </si>
  <si>
    <t>ID_IST_TE</t>
  </si>
  <si>
    <t>ВидТарифа</t>
  </si>
  <si>
    <t>ВидДеятельности</t>
  </si>
  <si>
    <t>НаименованиеТарифа</t>
  </si>
  <si>
    <t>Территория</t>
  </si>
  <si>
    <t>ЦентрализованнаяСистема</t>
  </si>
  <si>
    <t>ИсточникТепловойЭнергии</t>
  </si>
  <si>
    <t>№ п.п НаименованиеТарифа</t>
  </si>
  <si>
    <t>№ п.п Территория</t>
  </si>
  <si>
    <t>№ п.п ЦентрализованнаяСистема</t>
  </si>
  <si>
    <t>№ п.п ИсточникТепловойЭнергии</t>
  </si>
  <si>
    <t>9</t>
  </si>
  <si>
    <t>10</t>
  </si>
  <si>
    <t>11</t>
  </si>
  <si>
    <t>12</t>
  </si>
  <si>
    <t>13</t>
  </si>
  <si>
    <t>14</t>
  </si>
  <si>
    <t>Тарифы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t>
  </si>
  <si>
    <t>pIns_PT_VTAR_A</t>
  </si>
  <si>
    <t>pt_ntar_1</t>
  </si>
  <si>
    <t>pt_ter_1</t>
  </si>
  <si>
    <t>pt_cs_1</t>
  </si>
  <si>
    <t>pt_ist_te_1</t>
  </si>
  <si>
    <t>Тарифы на тепловую энергию (мощность), поставляемую теплоснабжающими организациями потребителям, другим теплоснабжающим организациям</t>
  </si>
  <si>
    <t>Тарифы на тепловую энергию (мощность) на коллекторах источников тепловой энергии</t>
  </si>
  <si>
    <t>"4190064"; "4190065"; "4190066"; "4190068"; "4190070"</t>
  </si>
  <si>
    <t>pIns_PT_VTAR_B</t>
  </si>
  <si>
    <t>pt_ntar_2</t>
  </si>
  <si>
    <t>pt_ter_2</t>
  </si>
  <si>
    <t>pt_cs_2</t>
  </si>
  <si>
    <t>pt_ist_te_2</t>
  </si>
  <si>
    <t>Добавить источник для дифференциации</t>
  </si>
  <si>
    <t>Добавить централизованную систему для дифференциации</t>
  </si>
  <si>
    <t>Добавить территорию для дифференциации</t>
  </si>
  <si>
    <t>Тарифы на тепловую энергию (мощность), поставляемую потребителям</t>
  </si>
  <si>
    <t>pt_ntar_30</t>
  </si>
  <si>
    <t>pt_ter_30</t>
  </si>
  <si>
    <t>pt_cs_30</t>
  </si>
  <si>
    <t>pt_ist_te_30</t>
  </si>
  <si>
    <t>Добавить наименование тарифа</t>
  </si>
  <si>
    <t>Тарифы на теплоноситель, поставляемый теплоснабжающими организациями потребителям, другим теплоснабжающим организациям</t>
  </si>
  <si>
    <t>pIns_PT_VTAR_C</t>
  </si>
  <si>
    <t>pt_ntar_3</t>
  </si>
  <si>
    <t>pt_ter_3</t>
  </si>
  <si>
    <t>pt_cs_3</t>
  </si>
  <si>
    <t>pt_ist_te_3</t>
  </si>
  <si>
    <t>Тарифы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t>
  </si>
  <si>
    <t>pIns_PT_VTAR_D</t>
  </si>
  <si>
    <t>pt_ntar_4</t>
  </si>
  <si>
    <t>pt_ter_4</t>
  </si>
  <si>
    <t>pt_cs_4</t>
  </si>
  <si>
    <t>pt_ist_te_4</t>
  </si>
  <si>
    <t>Тарифы на услуги по передаче тепловой энергии</t>
  </si>
  <si>
    <t>pIns_PT_VTAR_E1</t>
  </si>
  <si>
    <t>pt_ntar_5</t>
  </si>
  <si>
    <t>pt_ter_5</t>
  </si>
  <si>
    <t>pt_cs_5</t>
  </si>
  <si>
    <t>pt_ist_te_5</t>
  </si>
  <si>
    <t>Тарифы на услуги по передаче теплоносителя</t>
  </si>
  <si>
    <t>pIns_PT_VTAR_E2</t>
  </si>
  <si>
    <t>pt_ntar_6</t>
  </si>
  <si>
    <t>pt_ter_6</t>
  </si>
  <si>
    <t>pt_cs_6</t>
  </si>
  <si>
    <t>pt_ist_te_6</t>
  </si>
  <si>
    <t>Плата за услуги по поддержанию резервной тепловой мощности при отсутствии потребления тепловой энергии</t>
  </si>
  <si>
    <t>pIns_PT_VTAR_F</t>
  </si>
  <si>
    <t>pt_ntar_7</t>
  </si>
  <si>
    <t>pt_ter_7</t>
  </si>
  <si>
    <t>pt_cs_7</t>
  </si>
  <si>
    <t>pt_ist_te_7</t>
  </si>
  <si>
    <t>Плата за подключение (технологическое присоединение) к системе теплоснабжения</t>
  </si>
  <si>
    <t>pIns_PT_VTAR_G</t>
  </si>
  <si>
    <t>pt_ntar_8</t>
  </si>
  <si>
    <t>pt_ter_8</t>
  </si>
  <si>
    <t>pt_cs_8</t>
  </si>
  <si>
    <t>pt_ist_te_8</t>
  </si>
  <si>
    <t>Плата за подключение (технологическое присоединение) к системе теплоснабжения (индивидуальная)</t>
  </si>
  <si>
    <t>pIns_PT_VTAR_H</t>
  </si>
  <si>
    <t>pt_ntar_20</t>
  </si>
  <si>
    <t>pt_ter_20</t>
  </si>
  <si>
    <t>pt_cs_20</t>
  </si>
  <si>
    <t>pt_ist_te_20</t>
  </si>
  <si>
    <t>Предельный уровень цены на тепловую энергию (мощность), поставляемую теплоснабжающими организациями потребителям</t>
  </si>
  <si>
    <t>pIns_PT_VTAR_I</t>
  </si>
  <si>
    <t>pt_ntar_21</t>
  </si>
  <si>
    <t>pt_ter_21</t>
  </si>
  <si>
    <t>pt_cs_21</t>
  </si>
  <si>
    <t>pt_ist_te_21</t>
  </si>
  <si>
    <t>Информация о регулируемых ценах (тарифах) на товары (услуги) единой теплоснабжающей организации в ценовых зонах теплоснабжения включает сведения:</t>
  </si>
  <si>
    <t>- о предельном уровне цены на тепловую энергию (мощность), поставляемую потребителям, об индикативном предельном уровне цены на тепловую энергию (мощность) и о графике поэтапного равномерного доведения предельного уровня цены на тепловую энергию (мощность) (при наличии), определяемых в соответствии с Правилами определения в ценовых зонах теплоснабжения предельного уровня цены на тепловую энергию (мощность), включая правила индексации предельного уровня цены на тепловую энергию (мощность), утвержденными ПП РФ от 15 декабря 2017 г. № 1562 "Об определении в ценовых зонах теплоснабжения предельного уровня цены на тепловую энергию (мощность), включая индексацию предельного уровня цены на тепловую энергию (мощность), и технико-экономических параметров работы котельных и тепловых сетей, используемых для расчета предельного уровня цены на тепловую энергию (мощность)";</t>
  </si>
  <si>
    <t>- о тарифах на теплоноситель в виде воды, поставляемый единой теплоснабжающей организацией потребителям и теплоснабжающими организациями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6 части 1 статьи 23.4 ФЗ "О теплоснабжении";</t>
  </si>
  <si>
    <t>- о тарифах на горячую воду, поставляемую единой теплоснабжающей организацией потребителям с использованием открытых систем теплоснабжения (горячего водоснабжения), установленных в виде формулы двухкомпонентного тарифа с использованием компонента на теплоноситель и компонента на тепловую энергию, в том числе о числовых значениях компонентов указанного тарифа;</t>
  </si>
  <si>
    <t>- о плате за подключение (технологическое присоединение) к системе теплоснабжения, применяемой в случае, установленном частью 9 статьи 23.4 ФЗ "О теплоснабжении".</t>
  </si>
  <si>
    <t>Информация о регулируемых ценах (тарифах) на товары (услуги) теплоснабжающей организации и теплосетевой организации в ценовых зонах теплоснабжения включает сведения:</t>
  </si>
  <si>
    <t>- о тарифах на теплоноситель в виде воды, поставляемый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6 части 1 статьи 23.4 ФЗ "О теплоснабжении";</t>
  </si>
  <si>
    <t>- о тарифах на товары (услуги) в сфере теплоснабжения в случаях, указанных в частях 12.1 - 12.4 статьи 10 ФЗ "О теплоснабжении"</t>
  </si>
  <si>
    <t>Тариф на питьевую воду (питьевое водоснабжение)</t>
  </si>
  <si>
    <t>pIns_PT_VTAR_A_COLDVSNA</t>
  </si>
  <si>
    <t>pt_ntar_9</t>
  </si>
  <si>
    <t>pt_ter_9</t>
  </si>
  <si>
    <t>pt_cs_9</t>
  </si>
  <si>
    <t>Тариф на техническую воду</t>
  </si>
  <si>
    <t>pIns_PT_VTAR_B_COLDVSNA</t>
  </si>
  <si>
    <t>pt_ntar_10</t>
  </si>
  <si>
    <t>pt_ter_10</t>
  </si>
  <si>
    <t>pt_cs_10</t>
  </si>
  <si>
    <t>Тариф на транспортировку воды</t>
  </si>
  <si>
    <t>pIns_PT_VTAR_C_COLDVSNA</t>
  </si>
  <si>
    <t>pt_ntar_11</t>
  </si>
  <si>
    <t>pt_ter_11</t>
  </si>
  <si>
    <t>pt_cs_11</t>
  </si>
  <si>
    <t>Тариф на подвоз воды</t>
  </si>
  <si>
    <t>pIns_PT_VTAR_D_COLDVSNA</t>
  </si>
  <si>
    <t>pt_ntar_12</t>
  </si>
  <si>
    <t>pt_ter_12</t>
  </si>
  <si>
    <t>pt_cs_12</t>
  </si>
  <si>
    <t>Тариф на подключение (технологическое присоединение) к централизованной системе холодного водоснабжения</t>
  </si>
  <si>
    <t>pIns_PT_VTAR_E_COLDVSNA</t>
  </si>
  <si>
    <t>pt_ntar_13</t>
  </si>
  <si>
    <t>pt_ter_13</t>
  </si>
  <si>
    <t>pt_cs_13</t>
  </si>
  <si>
    <t>Тариф на горячую воду (горячее водоснабжение)</t>
  </si>
  <si>
    <t>pIns_PT_VTAR_A_HOTVSNA</t>
  </si>
  <si>
    <t>pt_ntar_14</t>
  </si>
  <si>
    <t>pt_ter_14</t>
  </si>
  <si>
    <t>pt_cs_14</t>
  </si>
  <si>
    <t>Тариф на транспортировку горячей воды</t>
  </si>
  <si>
    <t>pIns_PT_VTAR_B_HOTVSNA</t>
  </si>
  <si>
    <t>pt_ntar_15</t>
  </si>
  <si>
    <t>pt_ter_15</t>
  </si>
  <si>
    <t>pt_cs_15</t>
  </si>
  <si>
    <t>Тариф на подключение (технологическое присоединение) к централизованной системе горячего водоснабжения</t>
  </si>
  <si>
    <t>pIns_PT_VTAR_C_HOTVSNA</t>
  </si>
  <si>
    <t>pt_ntar_16</t>
  </si>
  <si>
    <t>pt_ter_16</t>
  </si>
  <si>
    <t>pt_cs_16</t>
  </si>
  <si>
    <t>Тариф на водоотведение</t>
  </si>
  <si>
    <t>pIns_PT_VTAR_A_VOTV</t>
  </si>
  <si>
    <t>pt_ntar_17</t>
  </si>
  <si>
    <t>pt_ter_17</t>
  </si>
  <si>
    <t>pt_cs_17</t>
  </si>
  <si>
    <t>Тариф на транспортировку сточных вод</t>
  </si>
  <si>
    <t>pIns_PT_VTAR_B_VOTV</t>
  </si>
  <si>
    <t>pt_ntar_18</t>
  </si>
  <si>
    <t>pt_ter_18</t>
  </si>
  <si>
    <t>pt_cs_18</t>
  </si>
  <si>
    <t>Тариф на подключение (технологическое присоединение) к централизованной системе водоотведения</t>
  </si>
  <si>
    <t>pIns_PT_VTAR_C_VOTV</t>
  </si>
  <si>
    <t>pt_ntar_19</t>
  </si>
  <si>
    <t>pt_ter_19</t>
  </si>
  <si>
    <t>pt_cs_19</t>
  </si>
  <si>
    <t>fdif</t>
  </si>
  <si>
    <t>fdif_e</t>
  </si>
  <si>
    <t>fdif_1</t>
  </si>
  <si>
    <t>Дифференциация тарифов в области обращения с твердыми коммунальными отходами</t>
  </si>
  <si>
    <t>Дифференциация по технологическим особенностям</t>
  </si>
  <si>
    <t>Дифференциация по территории оказания услуг</t>
  </si>
  <si>
    <t>Дифференциация по виду твердых коммунальных отходов</t>
  </si>
  <si>
    <t>Дифференциация по классу опасности твердых коммунальных отходов</t>
  </si>
  <si>
    <t>Комментарий</t>
  </si>
  <si>
    <t>Дифференциация, да/нет</t>
  </si>
  <si>
    <t>Значение</t>
  </si>
  <si>
    <t>Тарифы</t>
  </si>
  <si>
    <t>Прочие показатели</t>
  </si>
  <si>
    <t>AREA_ID</t>
  </si>
  <si>
    <t>Оказание услуги по обращению с твердыми коммунальными отходами региональным оператором</t>
  </si>
  <si>
    <t>Единый тариф на услугу регионального оператора по обращению с твердыми коммунальными отходами</t>
  </si>
  <si>
    <t>Тариф на обработку твердых коммунальных отходов</t>
  </si>
  <si>
    <t>Тариф на обезвреживание твердых коммунальных отходов</t>
  </si>
  <si>
    <t>Тариф на захоронение твердых коммунальных отходов</t>
  </si>
  <si>
    <t>Тариф на энергетическую утилизацию</t>
  </si>
  <si>
    <t>Фирменное наименование юридического лица (согласно уставу регулируемой организации)</t>
  </si>
  <si>
    <t>Параметры формы</t>
  </si>
  <si>
    <t>Описание параметров формы</t>
  </si>
  <si>
    <t>Наименование параметра</t>
  </si>
  <si>
    <t>Информация</t>
  </si>
  <si>
    <t>Субъект Российской Федерации</t>
  </si>
  <si>
    <t>Указывается наименование субъекта Российской Федерации</t>
  </si>
  <si>
    <t>x</t>
  </si>
  <si>
    <t>2.2</t>
  </si>
  <si>
    <t>идентификационный номер налогоплательщика (ИНН)</t>
  </si>
  <si>
    <t>Указывается идентификационный номер налогоплательщика.</t>
  </si>
  <si>
    <t>2.3</t>
  </si>
  <si>
    <t>код причины постановки на учет (КПП)</t>
  </si>
  <si>
    <t>Указывается код причины постановки на учет (при наличии).</t>
  </si>
  <si>
    <t>5.1</t>
  </si>
  <si>
    <t>Сведения о присвоении статуса единой теплоснабжающей организации:</t>
  </si>
  <si>
    <t>Информация в строках 5.x.1 - 5.x.4 указывается только едиными теплоснабжающими организациями.</t>
  </si>
  <si>
    <t>наименование органа, принявшего решение о присвоении статуса единой теплоснабжающей организации</t>
  </si>
  <si>
    <t>дата решения</t>
  </si>
  <si>
    <t>Дата принятия решения о присвоении статуса единой теплоснабжающей организации указывается в виде «ДД.ММ.ГГГГ».</t>
  </si>
  <si>
    <t>номер решения</t>
  </si>
  <si>
    <t>границы зоны (зон) деятельности</t>
  </si>
  <si>
    <t>Указывается описание зоны (зон) деятельности единой теплоснабжающей организации.</t>
  </si>
  <si>
    <t>Добавить сведения</t>
  </si>
  <si>
    <t>Данные должностного лица, ответственного за размещение данных</t>
  </si>
  <si>
    <t>3.1</t>
  </si>
  <si>
    <t>фамилия, имя и отчество должностного лица</t>
  </si>
  <si>
    <t>3.1.1</t>
  </si>
  <si>
    <t>фамилия должностного лица</t>
  </si>
  <si>
    <t>3.1.2</t>
  </si>
  <si>
    <t>имя должностного лица</t>
  </si>
  <si>
    <t>3.1.3</t>
  </si>
  <si>
    <t>отчество должностного лица</t>
  </si>
  <si>
    <t>3.2</t>
  </si>
  <si>
    <t>должность</t>
  </si>
  <si>
    <t>3.3</t>
  </si>
  <si>
    <t>контактный телефон</t>
  </si>
  <si>
    <t>3.4</t>
  </si>
  <si>
    <t>адрес электронной почты</t>
  </si>
  <si>
    <t>Указывается наименование субъекта Российской Федерации, муниципального района, города, иного населенного пункта, улицы, номер дома, при необходимости указывается корпус, строение, литера или дополнительная территория._x000D_
Данные указываются согласно наименованиям адресных объектов в ФГИС ЕИАС.</t>
  </si>
  <si>
    <t>Добавить контактный телефон</t>
  </si>
  <si>
    <t>Указывается при наличии</t>
  </si>
  <si>
    <t>Режим работы</t>
  </si>
  <si>
    <t>Указывается режим работы регулируемой организации. В случае наличия нескольких режимов работы регулируемой организации, информация по каждому из них указывается в отдельной строке.</t>
  </si>
  <si>
    <t>режим работы абонентских отделов</t>
  </si>
  <si>
    <t>Указывается режим работы абонентских отделов регулируемой организации. В случае наличия нескольких абонентских отделов и (или) режимов работы абонентских отделов, информация по каждому из них указывается в отдельной строке.</t>
  </si>
  <si>
    <t>режим работы сбытовых подразделений</t>
  </si>
  <si>
    <t>Указывается режим работы сбытовых подразделений регулируемой организации. В случае наличия нескольких сбытовых подразделений и (или) режимов работы сбытовых подразделений, информация по каждому из них указывается в отдельной строке.</t>
  </si>
  <si>
    <t>режим работы диспетчерских служб</t>
  </si>
  <si>
    <t>Указывается режим работы диспетчерских служб регулируемой организации. В случае наличия нескольких диспетчерских служб и (или) режимов работы диспетчерских служб, информация по каждому из них указывается в отдельной строке.</t>
  </si>
  <si>
    <t>Добавить режим работы</t>
  </si>
  <si>
    <t>В случае наличия дополнительных режимов работы регулируемой организации (подразделений регулируемой организации) информация по каждому из них указывается в отдельной строке.</t>
  </si>
  <si>
    <t>Наличие или отсутствие утвержденной в установленном порядке инвестиционной программы</t>
  </si>
  <si>
    <t>BLOCK_MAIN_INFO_OBJECT_HEAT</t>
  </si>
  <si>
    <t>BLOCK_MAIN_INFO_OBJECT_VOTV</t>
  </si>
  <si>
    <t>BLOCK_MAIN_INFO_OBJECT_COLDVSNA</t>
  </si>
  <si>
    <t>BLOCK_MAIN_INFO_OBJECT_HOTVSNA</t>
  </si>
  <si>
    <t>D:T</t>
  </si>
  <si>
    <t>Протяженность магистральных сетей (в однотрубном исчислении), км.</t>
  </si>
  <si>
    <t>Протяженность разводящих сетей (в однотрубном исчислении), км.</t>
  </si>
  <si>
    <t>Теплоэлектростанции</t>
  </si>
  <si>
    <t>Тепловые станции</t>
  </si>
  <si>
    <t>Котельные</t>
  </si>
  <si>
    <t>Количество центральных тепловых пунктов, шт.</t>
  </si>
  <si>
    <t>Протяженность канализационных сетей (в однотрубном исчислении), км.</t>
  </si>
  <si>
    <t>Количество насосных станций, шт.</t>
  </si>
  <si>
    <t>Количество очистных сооружений, шт.</t>
  </si>
  <si>
    <t>Протяженность водопроводных сетей (в однотрубном исчислении), км</t>
  </si>
  <si>
    <t>Количество скважин, шт.</t>
  </si>
  <si>
    <t>Количество подкачивающих насосных станций, шт.</t>
  </si>
  <si>
    <t>Протяженность сетей горячего водоснабжения (в однотрубном исчислении), км</t>
  </si>
  <si>
    <t>Количество теплоэлектростанций, шт.</t>
  </si>
  <si>
    <t>Установленная электрическая мощность</t>
  </si>
  <si>
    <t>Единицы изменения</t>
  </si>
  <si>
    <t>Установленная тепловая мощность, Гкал/ч</t>
  </si>
  <si>
    <t>Количество тепловых станций, шт.</t>
  </si>
  <si>
    <t>Количество котельных, шт.</t>
  </si>
  <si>
    <t>0</t>
  </si>
  <si>
    <t>Значения протяженности сетей, показателей в блоках "Теплоэлектростанции", "Тепловые станции", "Котельные" (за исключением колонки "Единицы измерения"), количества центральных тепловых пунктов указываются в виде целых и неотрицательных чисел._x000D_
В случае отсутствия тепловых сетей, теплоэлектростанций, тепловых станций, котельных, центральных тепловых пунктов в соответствующей колонке указывается значение 0._x000D_
В колонке "Единицы измерения" в блоке "Теплоэлектростанции" выбирается одно из значений: кВт*ч или МВт._x000D_
В случае оказания услуг в нескольких системах теплоснабжения информация по каждой из них указывается в отдельной строке.</t>
  </si>
  <si>
    <t>Значения протяженности сетей, количества насосных станций, количества очистных сооружений указываются в виде целых и  неотрицательных чисел._x000D_
В случае отсутствия канализационных сетей, насосных станций, очистных сооружений в соответствующей колонке указывается значение 0._x000D_
В случае осуществления регулируемых видов деятельности в нескольких централизованных системах водоотведения информация по каждой из них указывается в отдельной строке._x000D_
В случае осуществления регулируемых видов деятельности с использованием одной централизованной системы водоотведения на территории нескольких субъектов Российской Федерации значение показателя указывается в целом по данной централизованной системе</t>
  </si>
  <si>
    <t>Значения протяженности сетей, количества скважин, количества подкачивающих насосных станций указываются в виде целых и неотрицательных чисел._x000D_
В случае отсутствия водопроводных сетей, скважин, подкачивающих станций в соответствующей колонке указывается значение 0._x000D_
В случае осуществления регулируемых видов деятельности в нескольких централизованных системах холодного водоснабжения информация по каждой из них указывается в отдельной строке._x000D_
В случае осуществления регулируемых видов деятельности с использованием одной централизованной системы холодного водоснабжения на территории нескольких субъектов Российской Федерации значение показателя указывается в целом по данной централизованной системе.</t>
  </si>
  <si>
    <t>Значения протяженности сетей, количества центральных тепловых пунктов указываются в виде целых и неотрицательных чисел._x000D_
В случае отсутствия водопроводных сетей, центральных тепловых пунктов в соответствующей колонке указывается значение 0._x000D_
В случае осуществления регулируемых видов деятельности в нескольких централизованных системах горячего водоснабжения информация по каждой из них указывается в отдельной строке.</t>
  </si>
  <si>
    <t>n</t>
  </si>
  <si>
    <t>64235586; 64235587</t>
  </si>
  <si>
    <t>Добавить вид объекта</t>
  </si>
  <si>
    <t>Форма 2. Вид деятельности и виды объектов, используемых для оказания услуг в области обращения с твердыми коммунальными отходами, и их количество</t>
  </si>
  <si>
    <t>Вид объекта, используемых для оказания услуг в области обращения с твердыми коммунальными отходами</t>
  </si>
  <si>
    <t>Количество объектов, используемых для оказания услуг в области обращения с твердыми коммунальными отходами, шт.</t>
  </si>
  <si>
    <t>Значение количества объектов, используемых для оказания услуг в области обращения с твердыми коммунальными отходами, указывается в виде целых и неотрицательных чисел._x000D_
В случае отсутствия объектов того или иного вида, используемых для оказания услуг в области обращения с твердыми коммунальными отходами, указывается значение «0»._x000D_
В случае оказания услуг по нескольким видам деятельности информация по каждому из них указывается отдельно._x000D_
В случае наличия нескольких видов объектов, используемых для оказания услуг в области обращения с твердыми коммунальными отходами, информация по каждому из них указывается отдельно.</t>
  </si>
  <si>
    <t>Информация об отсутствии сети "Интернет" &lt;1&gt;</t>
  </si>
  <si>
    <t>Отсутствует доступ к сети "Интернет"</t>
  </si>
  <si>
    <t>Ссылка на документ</t>
  </si>
  <si>
    <t>В случае отсутствия доступа к сети "Интернет" на территории выбранного муниципального образования в колонке "Отсутствует доступ к сети "Интернет" указывается "Да"._x000D_
В колонке "Ссылка на документ" указывается материал в виде ссылки на документ, подтверждающий отсутствие сети "Интернет" на территории выбранного муниципального образования, предварительно загруженный в хранилище данных ФГИС ЕИАС._x000D_
В случае отсутствия доступа к сети "Интернет" на территории нескольких муниципальных районов (муниципальных образований) информация по каждому из них указывается в отдельной строке.</t>
  </si>
  <si>
    <t>Омский муниципальный район</t>
  </si>
  <si>
    <t>Ачаирское сельское поселение</t>
  </si>
  <si>
    <t>52644404</t>
  </si>
  <si>
    <t>Ачаирское сельское поселение (52644404)</t>
  </si>
  <si>
    <t>Указывается наименование тарифа в случае утверждения нескольких тарифов._x000D_
В случае наличия нескольких тарифов информация по ним указывается в отдельных строках.</t>
  </si>
  <si>
    <t>Территория действия тарифа</t>
  </si>
  <si>
    <t>Указывается наименование территории действия тарифа при наличии дифференциации тарифа по территориальному признаку._x000D_
В случае дифференциации тарифов по территориальному признаку информация по ним указывается в отдельных строках.</t>
  </si>
  <si>
    <t xml:space="preserve">Наименование системы теплоснабжения </t>
  </si>
  <si>
    <t>Указывается наименование системы теплоснабжения при наличии дифференциации тарифа по системам теплоснабжения._x000D_
В случае дифференциации тарифов по системам теплоснабжения информация по ним указывается в отдельных строках.</t>
  </si>
  <si>
    <t xml:space="preserve">Источник тепловой энергии  </t>
  </si>
  <si>
    <t>Указывается наименование источника тепловой энергии_x000D_
В случае дифференциации тарифов по источникам тепловой энергии информация по ним указывается в отдельных строках.</t>
  </si>
  <si>
    <t>SCHEME</t>
  </si>
  <si>
    <t>Схема подключения теплопотребляющей установки к коллектору источника тепловой энергии</t>
  </si>
  <si>
    <t>Указывается схема подключения теплопотребляющей установки к коллектору источника тепловой энергии только для тарифов на тепловую энергию и за услуги по поддержанию резервной мощности_x000D_
Значение выбирается из перечня:_x000D_
   - без дифференциации_x000D_
   - к коллектору источника тепловой энергии_x000D_
   - к тепловой сети без дополнительного преобразования на тепловых пунктах, эксплуатируемых теплоснабжающей организацией_x000D_
   - к тепловой сети после тепловых пунктов (на тепловых пунктах), эксплуатируемых теплоснабжающей организацией_x000D_
В случае дифференциации тарифов по схемам подключения теплопотребляющей установки к коллектору источника тепловой энергии информация по ним указывается в отдельных строках.</t>
  </si>
  <si>
    <t>GROUP_CONSUMER</t>
  </si>
  <si>
    <t>Группа потребителей</t>
  </si>
  <si>
    <t>Указывается группа потребителей при наличии дифференциации тарифа по группам потребителей._x000D_
Значение выбирается из перечня:_x000D_
   - организации-перепродавцы;_x000D_
   - бюджетные организации;_x000D_
   - население;_x000D_
   - прочие;_x000D_
   - без дифференциации._x000D_
В случае дифференциации тарифов группам потребителей информация по ним указывается в отдельных строках.</t>
  </si>
  <si>
    <t>TN</t>
  </si>
  <si>
    <t>В колонке «Параметр дифференциации тарифов» указывается вид теплоносителя._x000D_
Значение выбирается из перечня:_x000D_
   - вода;_x000D_
   - пар;_x000D_
   - отборный пар, 1.2 – 2.5 кг/см2;_x000D_
   - отборный пар, 2.5 – 7 кг/см2;_x000D_
   - отборный пар, 7 – 13 кг/см2;_x000D_
   - отборный пар, &gt; 13 кг/см2;_x000D_
   - острый и редуцированный пар;_x000D_
   - горячая вода в системе централизованного теплоснабжения на отопление;_x000D_
   - горячая вода в системе централизованного теплоснабжения на горячее водоснабжение;_x000D_
   - прочее._x000D_
При утверждении двухставочного тарифа колонка «Одноставочный тариф» не заполняется._x000D_
При утверждении одноставочного тарифа колонки в блоке «Двухставочный тариф» не заполняются. Даты начала и окончания действия тарифов указываются в виде «ДД.ММ.ГГГГ»._x000D_
В случае отсутствия даты окончания действия тарифа в колонке «Дата окончания» указывается «нет». Информация в колонке «Ставка за содержание тепловой мощности, тыс. руб./Гкал/ч/мес» указывается только для тарифа по поддержанию резервной мощности._x000D_
В случае дифференциации тарифов по периодам действия тарифа информация по ним указывается в отдельных колонках._x000D_
В случае дифференциации тарифов по видам теплоносителя информация по ним указывается в отдельных строках.</t>
  </si>
  <si>
    <t>Добавить вид теплоносителя (параметры теплоносителя)</t>
  </si>
  <si>
    <t>Добавить группу потребителей</t>
  </si>
  <si>
    <t>Добавить схему подключения</t>
  </si>
  <si>
    <t>PERIOD_FROM_FIRST_ROW</t>
  </si>
  <si>
    <t>FLAG_BLOCK_COLUMN</t>
  </si>
  <si>
    <t>SPR</t>
  </si>
  <si>
    <t>FLAG_START_DATE</t>
  </si>
  <si>
    <t>FLAG_ETC_PERIOD</t>
  </si>
  <si>
    <t>FLAG_END_DATE</t>
  </si>
  <si>
    <t>Дата документа об утверждении тарифов</t>
  </si>
  <si>
    <t>Номер документа об утверждении тарифов</t>
  </si>
  <si>
    <t>Дата подачи заявления об утверждении тарифов</t>
  </si>
  <si>
    <t>Номер подачи заявления об утверждении тарифов</t>
  </si>
  <si>
    <t>dp</t>
  </si>
  <si>
    <t>Параметр дифференциации тарифа</t>
  </si>
  <si>
    <t>Величина и срок действия тарифа</t>
  </si>
  <si>
    <t>Наличие других периодов действия тарифа</t>
  </si>
  <si>
    <t>Наличие других сроков действия тарифа</t>
  </si>
  <si>
    <t>Добавить срок действия</t>
  </si>
  <si>
    <t>Одноставочный тариф,_x000D_
руб./Гкал</t>
  </si>
  <si>
    <t>Ставка за содержание тепловой мощности,_x000D_
тыс. руб./Гкал/ч/мес.</t>
  </si>
  <si>
    <t>Двухставочный тариф</t>
  </si>
  <si>
    <t>Срок действия</t>
  </si>
  <si>
    <t>NUM_NTAR</t>
  </si>
  <si>
    <t>NUM_TER</t>
  </si>
  <si>
    <t>NUM_CS</t>
  </si>
  <si>
    <t>NUM_IST_TE</t>
  </si>
  <si>
    <t>NUM_SCHEME</t>
  </si>
  <si>
    <t>NUM_GC</t>
  </si>
  <si>
    <t>NUM_TN</t>
  </si>
  <si>
    <t>ставка за тепловую энергию,_x000D_
руб./Гкал</t>
  </si>
  <si>
    <t>ставка за содержание тепловой мощности,_x000D_
тыс. руб./Гкал/ч/мес</t>
  </si>
  <si>
    <t>дата начала</t>
  </si>
  <si>
    <t>дата окончания</t>
  </si>
  <si>
    <t>Период действия</t>
  </si>
  <si>
    <t>к коллектору источника тепловой энергии</t>
  </si>
  <si>
    <t>прочие</t>
  </si>
  <si>
    <t>вода</t>
  </si>
  <si>
    <t>к тепловой сети после тепловых пунктов (на тепловых пунктах), эксплуатируемых теплоснабжающей организацией</t>
  </si>
  <si>
    <t>бюджетные организации</t>
  </si>
  <si>
    <t>население</t>
  </si>
  <si>
    <t>Одноставочный тариф,_x000D_
руб./куб.м</t>
  </si>
  <si>
    <t>В колонке «Параметр дифференциации тарифов» указывается вид теплоносителя._x000D_
Значение выбирается из перечня:_x000D_
   - вода;_x000D_
   - пар;_x000D_
   - отборный пар, 1.2 – 2.5 кг/см2;_x000D_
   - отборный пар, 2.5 – 7 кг/см2;_x000D_
   - отборный пар, 7 – 13 кг/см2;_x000D_
   - отборный пар, &gt; 13 кг/см2;_x000D_
   - острый и редуцированный пар;_x000D_
   - горячая вода в системе централизованного теплоснабжения на отопление;_x000D_
   - горячая вода в системе централизованного теплоснабжения на горячее водоснабжение;_x000D_
   - прочее._x000D_
При утверждении двухставочного тарифа тариф колонка "Одноставочный тариф" не заполняется._x000D_
При подаче утверждении одноставочного тарифа колонки в блоке "Двухставочный тариф" не заполняются.Информация в колонке "Двухставочный тариф" не указывается для тарифа на теплоноситель._x000D_
Даты начала и окончания действия тарифов указываются в виде "ДД.ММ.ГГГГ"._x000D_
В случае отсутствия даты окончания действия тарифа в колонке "Дата окончания" указывается "Нет".В случае дифференциации тарифов по видам теплоносителя информация по ним указывается в отдельных строках.</t>
  </si>
  <si>
    <t>Указывается вид теплоносителя. _x000D_
Значение выбирается из перечня:_x000D_
   - вода;_x000D_
   - пар;_x000D_
   - отборный пар, 1.2 – 2.5 кг/см2;_x000D_
   - отборный пар, 2.5 – 7 кг/см2;_x000D_
   - отборный пар, 7 – 13 кг/см2;_x000D_
   - отборный пар, &gt; 13 кг/см2;_x000D_
   - острый и редуцированный пар;_x000D_
   - горячая вода в системе централизованного теплоснабжения на отопление;_x000D_
   - горячая вода в системе централизованного теплоснабжения на горячее водоснабжение;_x000D_
   - прочее._x000D_
В случае дифференциации тарифов по видам теплоносителя информация по ним указывается в отдельных строках.</t>
  </si>
  <si>
    <t>В колонке "Параметр дифференциации тарифов" указывается наименование поставщика в случае наличия дифференциации компонента двухставочного тарифа на горячую воду по поставщикам._x000D_
При утверждении двухставочного тарифа колонка "Одноставочный тариф" не заполняется._x000D_
При утверждении одноставочного тарифа колонки в блоке "Двухставочный тариф" не заполняются._x000D_
В случае отсутствия разбивки тарифа на компоненты колонки "Компонент на теплоноситель, руб./куб. м" и "Одноставочный компонент на тепловую энергию, руб/Гкал" не заполняются._x000D_
Даты начала и окончания действия тарифов указываются в виде "ДД.ММ.ГГГГ"._x000D_
В случае отсутствия даты окончания действия тарифа в колонке "Дата окончания" указывается "Нет"._x000D_
В случае дифференциации тарифов по поставщикам информация по ним указывается в отдельных строках.</t>
  </si>
  <si>
    <t>Добавить наименование поставщика</t>
  </si>
  <si>
    <t>Одноставочный тариф на горячую воду,_x000D_
руб./куб. м</t>
  </si>
  <si>
    <t>Двухкомпонентный тариф на горячую воду</t>
  </si>
  <si>
    <t>Компонент на теплоноситель,_x000D_
руб./куб. м</t>
  </si>
  <si>
    <t>Компонента на тепловую энергию</t>
  </si>
  <si>
    <t>Одноставочный компонент тарифа на тепловую энергию,_x000D_
руб/Гкал</t>
  </si>
  <si>
    <t>Двухставочный компонент тарифа на тепловую энергию</t>
  </si>
  <si>
    <t>NUM_CONS</t>
  </si>
  <si>
    <t>ставка за потребление горячей воды,_x000D_
руб./куб. м</t>
  </si>
  <si>
    <t>ставка за содержание тепловой мощности в компоненте на тепловую энергию,_x000D_
тыс. руб./Гкал/ч в мес.</t>
  </si>
  <si>
    <t>В колонке "Параметр дифференциации тарифа/Заявитель" указывается наименование категории потребителей, к которой относится тариф._x000D_
Даты начала и окончания указываются в виде "ДД.ММ.ГГГГ"._x000D_
В случае отсутствия даты окончания тарифа в колонке "Дата окончания" указывается "Нет"._x000D_
В случае наличия дифференциации по подключаемой нагрузке, диапазону диаметров, типу прокладки тепловых сетей, информация по ним указывается в отдельных строках._x000D_
В случае дифференциации тарифов по периодам действия тарифа информация по ним указывается в отдельных колонках.</t>
  </si>
  <si>
    <t>Добавить диапазон диаметров тепловых сетей</t>
  </si>
  <si>
    <t>Добавить тип прокладки тепловых сетей</t>
  </si>
  <si>
    <t>Добавить подключаемую тепловую нагрузку</t>
  </si>
  <si>
    <t>Добавить строку</t>
  </si>
  <si>
    <t>FLAG</t>
  </si>
  <si>
    <t>LOAD</t>
  </si>
  <si>
    <t>NETS</t>
  </si>
  <si>
    <t>DIAMETERS</t>
  </si>
  <si>
    <t>Параметр дифференциации тарифа/ заявитель/ наименование объекта/адрес</t>
  </si>
  <si>
    <t>Подключаемая тепловая нагрузка,_x000D_
Гкал/ч</t>
  </si>
  <si>
    <t>Тип прокладки тепловых сетей</t>
  </si>
  <si>
    <t>Диаметр тепловых сетей,_x000D_
мм</t>
  </si>
  <si>
    <t>Плата за подключение (технологическое присоединение)</t>
  </si>
  <si>
    <t>с НДС</t>
  </si>
  <si>
    <t>без НДС</t>
  </si>
  <si>
    <t>В колонке "Параметр дифференциации тарифа/заявитель/наименование объекта/адрес" указывается наименование категории потребителей, к которой относится тариф._x000D_
Даты начала и окончания указываются в виде "ДД.ММ.ГГГГ"._x000D_
В случае отсутствия даты окончания тарифа в колонке "Дата окончания" указывается "Нет"._x000D_
В случае наличия дифференциации по подключаемой нагрузке, диапазону диаметров, типу прокладки тепловых сетей, информация по ним указывается в отдельных строках._x000D_
В случае дифференциации тарифов по периодам действия тарифа информация по ним указывается в отдельных колонках.</t>
  </si>
  <si>
    <t>Наименование централизованной системы холодного водоснабжения</t>
  </si>
  <si>
    <t>Указывается наименование централизованной системы холодного водоснабжения при наличии дифференциации тарифа по централизованным системам холодного водоснабжения._x000D_
В случае дифференциации тарифов по централизованным системам холодного водоснабжения информация по ним указывается в отдельных строках.</t>
  </si>
  <si>
    <t>Наименование признака дифференциации</t>
  </si>
  <si>
    <t>Указывается наименование дополнительного признака дифференциации (при наличии)._x000D_
Дифференциация тарифа осуществляется в соответствии с законодательством в сфере водоснабжения и водоотведения._x000D_
В случае дифференциации тарифов по дополнительным признакам информация по ним указывается в отдельных строках.</t>
  </si>
  <si>
    <t>Указывается группа потребителей при наличии дифференциации тарифа по группам потребителей._x000D_
Значение выбирается из перечня:_x000D_
  - Организации-перепродавцы;_x000D_
  - Бюджетные организации;_x000D_
  - Население;_x000D_
  - Прочие;_x000D_
  - Без дифференциации._x000D_
В случае дифференциации тарифов по группам потребителей информация по ним указывается в отдельных строках.</t>
  </si>
  <si>
    <t>Добавить значение признака дифференциации</t>
  </si>
  <si>
    <t>В случае наличия нескольких значений признака дифференциации тарифов информация по ним указывается в отдельных строках._x000D_
В случае дифференциации тарифов по периодам действия тарифа информация по ним указывается в отдельных колонках.</t>
  </si>
  <si>
    <t>Добавить наименование признака дифференциации</t>
  </si>
  <si>
    <t>Одноставочный тариф</t>
  </si>
  <si>
    <t>NUM_FLAG_DIFF</t>
  </si>
  <si>
    <t>NUM_DATA_DIFF</t>
  </si>
  <si>
    <t>Одноставочный тариф,_x000D_
руб./куб. м</t>
  </si>
  <si>
    <t>ставка платы за объем поданной воды,_x000D_
руб./куб. м</t>
  </si>
  <si>
    <t>ставка платы за содержание мощности,_x000D_
руб./куб. м в час</t>
  </si>
  <si>
    <t>pt_ist_te_9</t>
  </si>
  <si>
    <t>pt_ist_te_10</t>
  </si>
  <si>
    <t>pt_ist_te_11</t>
  </si>
  <si>
    <t>pt_ist_te_12</t>
  </si>
  <si>
    <t>Заявитель</t>
  </si>
  <si>
    <t>Наименование объекта, адрес</t>
  </si>
  <si>
    <t>В колонке "Параметр дифференциации тарифа/Заявитель" указывается наименование категории потребителей/заявителя, к которой относится тариф._x000D_
Даты начала и окончания указываются в виде "ДД.ММ.ГГГГ"._x000D_
В случае отсутствия даты окончания тарифа в колонке "Дата окончания" указывается "Нет"._x000D_
В случае дифференциации по категориям потребителей/заявителям, подключаемой нагрузке, диапазону диаметров, протяженности, условиям прокладки водопроводной сети информация по ним указывается в отдельных строках._x000D_
В случае дифференциации тарифов по периодам действия тарифа информация по ним указывается в отдельных колонках.</t>
  </si>
  <si>
    <t>Добавить условия прокладки сетей</t>
  </si>
  <si>
    <t>Добавить протяженность водопроводной сети</t>
  </si>
  <si>
    <t>Добавить диапазон диаметров водопроводной сети</t>
  </si>
  <si>
    <t>Добавить подключаемую нагрузку</t>
  </si>
  <si>
    <t>DIAMETERS_2</t>
  </si>
  <si>
    <t>Параметр дифференциации тарифа/Заявитель/Наименование объекта/Адрес</t>
  </si>
  <si>
    <t>Подключаемая нагрузка водопроводной сети,_x000D_
куб. м/сут</t>
  </si>
  <si>
    <t>Диапазон диаметров водопроводной сети,_x000D_
мм</t>
  </si>
  <si>
    <t>Протяженность водопроводной сети,_x000D_
км</t>
  </si>
  <si>
    <t>Условия прокладки сетей</t>
  </si>
  <si>
    <t>Ставка тарифа за подключаемую нагрузку водопроводной сети,_x000D_
тыс. руб./куб. м в сутки</t>
  </si>
  <si>
    <t>Ставка тарифа за протяженность водопроводной сети диаметром d,_x000D_
тыс. руб./км</t>
  </si>
  <si>
    <t>Срок действия тарифов</t>
  </si>
  <si>
    <t>pt_ist_te_13</t>
  </si>
  <si>
    <t>Наименование централизованной системы водоотведения</t>
  </si>
  <si>
    <t>Указывается наименование централизованной системы водоотведения при наличии дифференциации тарифа по централизованным системам водоотведения._x000D_
В случае дифференциации тарифов по централизованным системам водоотведения информация по ним указывается в отдельных строках.</t>
  </si>
  <si>
    <t>одноставочный тариф,_x000D_
руб./куб. м</t>
  </si>
  <si>
    <t>ставка платы за объем _x000D_
принятых сточных вод,_x000D_
руб./куб. м</t>
  </si>
  <si>
    <t>pt_ist_te_17</t>
  </si>
  <si>
    <t>pt_ist_te_18</t>
  </si>
  <si>
    <t>Добавить протяженность сети</t>
  </si>
  <si>
    <t>Добавить диапазон диаметров</t>
  </si>
  <si>
    <t>Подключаемая нагрузка канализационной сети,_x000D_
куб. м/сут</t>
  </si>
  <si>
    <t>Диапазон диаметров канализационной сети,_x000D_
мм</t>
  </si>
  <si>
    <t>Протяженность канализационной  сети,_x000D_
км</t>
  </si>
  <si>
    <t>Ставка тарифа за подключаемую нагрузку канализационной сети,_x000D_
тыс. руб./куб. м в сутки</t>
  </si>
  <si>
    <t>Ставка тарифа за протяженность канализационной сети диаметром d,_x000D_
тыс. руб./км</t>
  </si>
  <si>
    <t>pt_ist_te_19</t>
  </si>
  <si>
    <t>Наименование централизованной системы горячего водоснабжения</t>
  </si>
  <si>
    <t>Указывается наименование централизованной системы горячего водоснабжения при наличии дифференциации тарифа по централизованным системам горячего водоснабжения._x000D_
В случае дифференциации тарифов по централизованным системам горячего водоснабжения информация по ним указывается в отдельных строках.</t>
  </si>
  <si>
    <t>Одноставочный тариф, руб./куб. м</t>
  </si>
  <si>
    <t>Компонент на холодную воду</t>
  </si>
  <si>
    <t>Компонент на тепловую энергию</t>
  </si>
  <si>
    <t>Одноставочный, руб./куб.м</t>
  </si>
  <si>
    <t>Двухставочный тариф</t>
  </si>
  <si>
    <t>Одноставочный, руб./Гкал</t>
  </si>
  <si>
    <t>Ставка за содержание системы, руб./куб. м в час</t>
  </si>
  <si>
    <t>Ставка за объём поданной воды, руб./куб.м</t>
  </si>
  <si>
    <t>Ставка за тепловую энергию, руб./Гкал</t>
  </si>
  <si>
    <t>Ставка за содержание тепловой мощности, руб./Гкал в час в месяц</t>
  </si>
  <si>
    <t>pt_ist_te_14</t>
  </si>
  <si>
    <t>pt_ist_te_15</t>
  </si>
  <si>
    <t>pt_ist_te_16</t>
  </si>
  <si>
    <t>vt</t>
  </si>
  <si>
    <t>х</t>
  </si>
  <si>
    <t>В колонке «Наименование параметра» указывается вид приобретаемого топлива._x000D_
Если приобретается несколько видов топлива, то информация по каждому из них указывается отдельно.</t>
  </si>
  <si>
    <t>общая стоимость</t>
  </si>
  <si>
    <t>объём</t>
  </si>
  <si>
    <t>В колонке «Единица измерения» указываются единицы измерения объема приобретаемого топлива._x000D_
В колонке «Информация» указывается величина объема приобретаемого топлива.</t>
  </si>
  <si>
    <t>стоимость за единицу объёма</t>
  </si>
  <si>
    <t>тыс. руб.</t>
  </si>
  <si>
    <t>стоимость доставки</t>
  </si>
  <si>
    <t>способ приобретения</t>
  </si>
  <si>
    <t>Указываются прочие расходы, которые подлежат отнесению на регулируемые виды деятельности в соответствии с законодательством.</t>
  </si>
  <si>
    <t>Гкал/ч</t>
  </si>
  <si>
    <t>Указывается установленная тепловая мощность для источника тепловой энергии.</t>
  </si>
  <si>
    <t>%</t>
  </si>
  <si>
    <t>Указывается показатель использования по производственному объекту как процент объем перекачки по отношению к пиковому дню отчетного года.</t>
  </si>
  <si>
    <t>кг у. т./Гкал</t>
  </si>
  <si>
    <t>Указывается норматив удельного расхода условного топлива при производстве тепловой энергии источниками тепловой энергии для отдельного источника тепловой энергии.</t>
  </si>
  <si>
    <t>кг усл. топл./Гкал</t>
  </si>
  <si>
    <t>Указывается фактический удельный расход условного топлива при производстве тепловой энергии источниками тепловой энергии для отдельного источника тепловой энергии.</t>
  </si>
  <si>
    <t>Территория оказания услуг</t>
  </si>
  <si>
    <t>Централизованная система</t>
  </si>
  <si>
    <t>Единица измерения</t>
  </si>
  <si>
    <t>p</t>
  </si>
  <si>
    <t>HEAT_P1</t>
  </si>
  <si>
    <t>Добавить вид топлива</t>
  </si>
  <si>
    <t>HOTVSNA_P1</t>
  </si>
  <si>
    <t>руб.</t>
  </si>
  <si>
    <t>тыс. кВт·ч</t>
  </si>
  <si>
    <t>HEAT_P6</t>
  </si>
  <si>
    <t>NOT_HOTVSNA</t>
  </si>
  <si>
    <t>отсутствует</t>
  </si>
  <si>
    <t>NOT_HEAT_P1</t>
  </si>
  <si>
    <t>Добавить прочие расходы</t>
  </si>
  <si>
    <t>HEAT_P2</t>
  </si>
  <si>
    <t>NOT_HEAT_P2</t>
  </si>
  <si>
    <t>COLDVSNA_P1</t>
  </si>
  <si>
    <t>тыс. куб. м</t>
  </si>
  <si>
    <t>HOTVSNA_P2</t>
  </si>
  <si>
    <t>тыс. Гкал</t>
  </si>
  <si>
    <t>VOTV_P1</t>
  </si>
  <si>
    <t>HEAT_P3</t>
  </si>
  <si>
    <t>Добавить источник тепловой энергии</t>
  </si>
  <si>
    <t>В случае наличия нескольких источников тепловой энергии установленная тепловая мощность по каждому из них указывается в отдельных строках.</t>
  </si>
  <si>
    <t>hyp</t>
  </si>
  <si>
    <t>тыс. Гкал/год</t>
  </si>
  <si>
    <t>человек</t>
  </si>
  <si>
    <t>HEAT_P4</t>
  </si>
  <si>
    <t>VSNA</t>
  </si>
  <si>
    <t>тыс. кВт·ч на тыс. куб. м</t>
  </si>
  <si>
    <t>COLDVSNA_P2</t>
  </si>
  <si>
    <t>Добавить производственный объект</t>
  </si>
  <si>
    <t>В случае наличия нескольких производственных объектов информация по каждому из них указывается в отдельной строке.</t>
  </si>
  <si>
    <t>HEAT_P5</t>
  </si>
  <si>
    <t>В случае наличия нескольких источников тепловой энергии норматив удельного расхода условного топлива по каждому из них указывается в отдельных строках.</t>
  </si>
  <si>
    <t>В случае наличия нескольких источников тепловой энергии фактический удельный расход условного топлива по каждому из них указывается в отдельных строках.</t>
  </si>
  <si>
    <t>тыс. кВт.ч/Гкал</t>
  </si>
  <si>
    <t>куб.м/Гкал</t>
  </si>
  <si>
    <t>Способ приобретения</t>
  </si>
  <si>
    <t>Реквизиты договора</t>
  </si>
  <si>
    <t>Наименование товара/услуги</t>
  </si>
  <si>
    <t>Объем приобретенных товаров, услуг</t>
  </si>
  <si>
    <t>Единица измерения объема</t>
  </si>
  <si>
    <t>Стоимость, тыс. руб.</t>
  </si>
  <si>
    <t>Доля расходов, % (от суммы расходов по указанной статье)</t>
  </si>
  <si>
    <t>NOTSHOW</t>
  </si>
  <si>
    <t>Информация об объемах товаров и услуг, их стоимости и способах приобретения у организаций, в том числе:</t>
  </si>
  <si>
    <t>Указывается сумма стоимости приобретения товаров и услуг у организаций, сумма оплаты услуг которых превышает 20% суммы расходов на капитальный и текущий ремонт основных производственных средства</t>
  </si>
  <si>
    <t>i</t>
  </si>
  <si>
    <t>Расходы на услуги производственного характера, выполняемые по договорам с организациями на проведение регламентных работ в рамках технологического процесса. Из них товары и услуги, приобретенные у организаций, сумма оплаты услуг которых превышает 20% суммы расходов по статье:</t>
  </si>
  <si>
    <t>Указывается сумма стоимости приобретения товаров и услуг у организаций, сумма оплаты услуг которых превышает 20% суммы расходов на услуги производственного характера</t>
  </si>
  <si>
    <t>L.HEAT.POWER.DYN</t>
  </si>
  <si>
    <t>Установленная тепловая мощность объекта основных фондов</t>
  </si>
  <si>
    <t>ЧСЛ</t>
  </si>
  <si>
    <t>НОМЕР</t>
  </si>
  <si>
    <t>Форма 9. Информация об основных технико-экономических параметрах деятельности единой теплоснабжающей организации в ценовых зонах теплоснабжения, об основных технико-экономических параметрах деятельности теплоснабжающей организации в ценовых зонах теплоснабжения и теплосетевой организации в ценовых зонах теплоснабжения</t>
  </si>
  <si>
    <t>ВЭД</t>
  </si>
  <si>
    <t>РАЙОН</t>
  </si>
  <si>
    <t>НМОБ</t>
  </si>
  <si>
    <t>НОМЕР2</t>
  </si>
  <si>
    <t>ДЕТ</t>
  </si>
  <si>
    <t>L.ACC.STATEMENTS</t>
  </si>
  <si>
    <t>Годовая бухгалтерская (финансовая) отчетность</t>
  </si>
  <si>
    <t>СТР</t>
  </si>
  <si>
    <t>Не определено</t>
  </si>
  <si>
    <t>Годовая бухгалтерская (финансовая) отчетность, включая бухгалтерский баланс и приложения к нему</t>
  </si>
  <si>
    <t>p3</t>
  </si>
  <si>
    <t>Указывается ссылка на документ, предварительно загруженный в хранилище файлов ФГИС ЕИАС.</t>
  </si>
  <si>
    <t>L.HEAT.POWER</t>
  </si>
  <si>
    <t>Установленная тепловая мощность объектов основных фондов</t>
  </si>
  <si>
    <t>Установленная тепловая мощность объектов основных фондов, используемых для теплоснабжения, в том числе по каждому источнику тепловой энергии</t>
  </si>
  <si>
    <t>Указывается суммарная установленная тепловая мощность объектов основных фондов, используемых для осуществления теплоснабжения.</t>
  </si>
  <si>
    <t>2.0</t>
  </si>
  <si>
    <t>L.HEAT.LOAD</t>
  </si>
  <si>
    <t>Тепловая нагрузка по договорам теплоснабжения</t>
  </si>
  <si>
    <t>Информация раскрывается только единой теплоснабжающей организацией в ценовых зонах теплоснабжения.</t>
  </si>
  <si>
    <t>L.VOLUME.ENERGY.PRODUCED</t>
  </si>
  <si>
    <t>Объем вырабатываемой тепловой энергии</t>
  </si>
  <si>
    <t>Объем вырабатываемой единой теплоснабжающей организацией в ценовых зонах теплоснабжения тепловой энергии, теплоснабжающей организацией в ценовых зонах теплоснабжения и передаваемой теплосетевой организацией в ценовых зонах теплоснабжения тепловой энергии</t>
  </si>
  <si>
    <t>L.VOLUME.ENERGY.PURCHASED</t>
  </si>
  <si>
    <t>Объем приобретаемой тепловой энергии</t>
  </si>
  <si>
    <t>Объем приобретаемой единой теплоснабжающей организацией в ценовых зонах теплоснабжения тепловой энергии</t>
  </si>
  <si>
    <t>L.VOLUME.ENERGY.RELEASED</t>
  </si>
  <si>
    <t>Объем тепловой энергии, отпускаемой потребителям по договорам</t>
  </si>
  <si>
    <t xml:space="preserve">Объем тепловой энергии, отпускаемой потребителям по договорам, заключенным в рамках осуществления регулируемых видов деятельности, определенном в том числе: </t>
  </si>
  <si>
    <t>Указывается общий объем тепловой энергии, отпускаемой потребителям._x000D_
Указывается информация, включая отдельно сведения об определенном по приборам учета объеме тепловой энергии, отпускаемой потребителям по договорам, максимальный объем потребления тепловой энергии объектов которых составляет менее чем 0,2 Гкал/ч.</t>
  </si>
  <si>
    <t>L.RELEASED.BY.PU</t>
  </si>
  <si>
    <t xml:space="preserve">Объем тепловой энергии по приборам учета </t>
  </si>
  <si>
    <t>6.1</t>
  </si>
  <si>
    <t xml:space="preserve">по приборам учета </t>
  </si>
  <si>
    <t>L.RELEASED.BY.CALC</t>
  </si>
  <si>
    <t xml:space="preserve">Объем тепловой энергии расчетным путем </t>
  </si>
  <si>
    <t>6.2</t>
  </si>
  <si>
    <t xml:space="preserve">расчетным путем </t>
  </si>
  <si>
    <t>L.RELEASED.BY.NORMATIVE</t>
  </si>
  <si>
    <t>Объем тепловой энергии по нормативам потребления</t>
  </si>
  <si>
    <t>6.3</t>
  </si>
  <si>
    <t>по нормативам потребления коммунальных услуг и нормативам потребления коммунальных ресурсов</t>
  </si>
  <si>
    <t>L.VOLUME.LOSSES.PLAN</t>
  </si>
  <si>
    <t>Плановый объем потерь при передаче тепловой энергии</t>
  </si>
  <si>
    <t xml:space="preserve">тыс. Гкал/год </t>
  </si>
  <si>
    <t>L.VOLUME.LOSSES.FACT</t>
  </si>
  <si>
    <t>Фактический объем потерь при передаче тепловой энергии</t>
  </si>
  <si>
    <t>L.UNIT.COST.PLAN</t>
  </si>
  <si>
    <t>Плановый удельный расход условного топлива при производстве тепловой энергии</t>
  </si>
  <si>
    <t xml:space="preserve">Плановый удельный расход условного топлива при производстве тепловой энергии источниками тепловой энергии с распределением по источникам тепловой энергии </t>
  </si>
  <si>
    <t>L.UNIT.COST.FACT</t>
  </si>
  <si>
    <t>Фактический удельный расход условного топлива при производстве тепловой энергии</t>
  </si>
  <si>
    <t xml:space="preserve">Фактический удельный расход условного топлива при производстве тепловой энергии источниками тепловой энергии с распределением по источникам тепловой энергии </t>
  </si>
  <si>
    <t>L.PRODUCTION.STAFF</t>
  </si>
  <si>
    <t>Среднесписочная численность основного производственного персонала</t>
  </si>
  <si>
    <t>L.ADMINISTRATIVE STAFF</t>
  </si>
  <si>
    <t>Среднесписочная численность административно-управленческого персонала</t>
  </si>
  <si>
    <t>L.UNIT.COST.EE</t>
  </si>
  <si>
    <t>Удельный расход электрической энергии</t>
  </si>
  <si>
    <t xml:space="preserve">Удельный расход электрической энергии на производство (передачу) тепловой энергии на единицу тепловой энергии, отпускаемой потребителям по договорам, заключенным в рамках осуществления регулируемых видов деятельности </t>
  </si>
  <si>
    <t>L.UNIT.COST.COLD.WATER</t>
  </si>
  <si>
    <t>Удельный расход холодной воды</t>
  </si>
  <si>
    <t xml:space="preserve">Удельный расход холодной воды на производство (передачу) тепловой энергии на единицу тепловой энергии, отпускаемой потребителям по договорам, заключенным в рамках осуществления регулируемых видов деятельности </t>
  </si>
  <si>
    <t>куб. м/Гкал</t>
  </si>
  <si>
    <t>L.CONDITION.INFO</t>
  </si>
  <si>
    <t>Информация о показателях технико-экономического состояния систем теплоснабжения</t>
  </si>
  <si>
    <t>Информация о показателях технико-экономического состояния систем теплоснабжения (за исключением теплопотребляющих установок потребителей тепловой энергии, теплоносителя, а также источников тепловой энергии, функционирующих в режиме комбинированной выработки электрической и тепловой энергии), в т.ч. информация о показателях физического износа объектов теплоснабжения, информация о показателях энергетической эффективности объектов теплоснабжения</t>
  </si>
  <si>
    <t>L.STANDARDS.OTHER</t>
  </si>
  <si>
    <t>Прочие стандарты</t>
  </si>
  <si>
    <t>Форма 10. Информация о стандартах качества обслуживания единой теплоснабжающей организацией в ценовых зонах теплоснабжения потре-бителей тепловой энергии и стандартах взаимодействия единой теплоснабжающей организации в ценовых зонах теплоснабжения с теплоснабжающими организациями в ценовых зонах теплоснабжения, владеющими на праве собственности и (или) ином законном основании источниками тепловой энергии, о выполнении соглашения об исполнении схемы теплоснабжения</t>
  </si>
  <si>
    <t xml:space="preserve">L.STANDARDS.SERVICE.QUALITY </t>
  </si>
  <si>
    <t>Стандарты качества обслуживания</t>
  </si>
  <si>
    <t>Стандарты качества обслуживания единой теплоснабжающей организацией в ценовых зонах теплоснабжения потребителей тепловой энергии</t>
  </si>
  <si>
    <t>Информация включает сведения о месте их опубликования.</t>
  </si>
  <si>
    <t>L.STANDARDS.INTERACTION</t>
  </si>
  <si>
    <t>Стандарты взаимодействия</t>
  </si>
  <si>
    <t>Стандарты взаимодействия единой теплоснабжающей организации в ценовых зонах теплоснабжения с теплоснабжающими организациями в ценовых зонах теплоснабжения, владеющими на праве собственности и (или) ином законном основании источниками тепловой энергии</t>
  </si>
  <si>
    <t>L.STANDARDS.AGREEMENT</t>
  </si>
  <si>
    <t>Информация о выполнении соглашения</t>
  </si>
  <si>
    <t>Информация о выполнении соглашения об исполнении схемы теплоснабжения</t>
  </si>
  <si>
    <t>Информация включает сведения о достижении целевых показателей испол-нения схемы теплоснабжения единой теплоснабжающей организацией в це-новых зонах теплоснабжения и выполнении сторонами соглашения обяза-тельств, включенных в указанное соглашение в соответствии с Федеральным законом от 27 июля 2010 г. № 190-ФЗ «О теплоснабжении».</t>
  </si>
  <si>
    <t>Добавить стандарты</t>
  </si>
  <si>
    <t>Указываются прочие расходы, которые подлежат отнесению на регулируемые виды деятельности в соответствии с законодательством в области обращения с твёрдыми коммунальными отходами.</t>
  </si>
  <si>
    <t>Форма 5. Информация об основных показателях финансово-хозяйственной деятельности организации в части регулируемых видов деятельности за отчётный год</t>
  </si>
  <si>
    <t>Выручка от регулируемого вида деятельности</t>
  </si>
  <si>
    <t xml:space="preserve">Указывается выручка от регулируемого вида деятельности </t>
  </si>
  <si>
    <t>Себестоимость оказываемых услуг по обращению с твёрдыми коммунальными отходами по регулируемому виду деятельности, включая:</t>
  </si>
  <si>
    <t xml:space="preserve">Указывается суммарная себестоимость </t>
  </si>
  <si>
    <t>2.1</t>
  </si>
  <si>
    <t>производственные расходы, в том числе:</t>
  </si>
  <si>
    <t>Указывается общая сумма производственных расходов.</t>
  </si>
  <si>
    <t>2.1.1</t>
  </si>
  <si>
    <t>расходы на оплату труда основного производственного персонала</t>
  </si>
  <si>
    <t>Указывается общая сумма расходов на оплату труда и страховых взносов производственного персонала.</t>
  </si>
  <si>
    <t>2.1.2</t>
  </si>
  <si>
    <t>страховые взносы на обязательное социальное страхование, выплачиваемые из фонда оплаты труда основного производственного персонала</t>
  </si>
  <si>
    <t>ремонтные расходы, включая:</t>
  </si>
  <si>
    <t>Указывается общая сумма ремонтных расходов</t>
  </si>
  <si>
    <t>2.2.1</t>
  </si>
  <si>
    <t>расходы на текущий ремонт</t>
  </si>
  <si>
    <t>2.2.2</t>
  </si>
  <si>
    <t>расходы на капитальный ремонт</t>
  </si>
  <si>
    <t>административные расходы, в том числе:</t>
  </si>
  <si>
    <t>Указывается общая сумма расходов на оплату труда и страховых взносов административно-управленческого персонала</t>
  </si>
  <si>
    <t>2.3.1</t>
  </si>
  <si>
    <t>расходы на оплату труда</t>
  </si>
  <si>
    <t>2.3.2</t>
  </si>
  <si>
    <t xml:space="preserve">страховые взносы на обязательное социальное страхование, выплачиваемые из фонда оплаты труда административно-управленческого персонала </t>
  </si>
  <si>
    <t>2.4</t>
  </si>
  <si>
    <t>расходы на амортизацию основных средств и нематериальных активов:</t>
  </si>
  <si>
    <t>Указывается общая сумма расходов на амортизацию основных средства и нематериальных активов</t>
  </si>
  <si>
    <t>2.4.1</t>
  </si>
  <si>
    <t>расходы на амортизацию основных средств</t>
  </si>
  <si>
    <t>2.4.2</t>
  </si>
  <si>
    <t>расходы на амортизацию нематериальных активов</t>
  </si>
  <si>
    <t>2.5</t>
  </si>
  <si>
    <t>расходы на арендную плату</t>
  </si>
  <si>
    <t>2.6</t>
  </si>
  <si>
    <t>расходы на лизинговые платежи</t>
  </si>
  <si>
    <t>2.7</t>
  </si>
  <si>
    <t xml:space="preserve"> расходы на концессионную плату</t>
  </si>
  <si>
    <t>2.8</t>
  </si>
  <si>
    <t>прочие расходы, которые подлежат отнесению на регулируемые виды деятельности, в том числе:</t>
  </si>
  <si>
    <t>Указывается общая сумма прочих расходов, которые подлежат отнесению на регулируемые виды деятельности в соответствии с законодательством в области обращения с твёрдыми коммунальными отходами.</t>
  </si>
  <si>
    <t>В случае наличия нескольких видов прочих расходов информация указывается в отдельных строках.</t>
  </si>
  <si>
    <t>2.9</t>
  </si>
  <si>
    <t>расходы на транспортирование твёрдых коммунальных отходов</t>
  </si>
  <si>
    <t>Указывается сумма расходов на оплату выполняемых сторонними организациями услуг, связанных с осуществлением деятельности по транспортированию твёрдых коммунальных отходов в соответствии с договорами, заключенными региональным оператором с операторами, осуществляющими транспортирование твёрдых коммунальных отходов, при самостоятельном транспортировании твёрдых коммунальных отходов региональным оператором (при их наличии).</t>
  </si>
  <si>
    <t>Чистая прибыль с разбивкой по регулируемым видам деятельности, в том числе:</t>
  </si>
  <si>
    <t>Указывается общая сумма чистой прибыли, полученной от регулируемого вида деятельности.</t>
  </si>
  <si>
    <t>размер расходования чистой прибыли на финансирование мероприятий, предусмотренных инвестиционной программой</t>
  </si>
  <si>
    <t>Изменение стоимости основных фондов, в том числе:</t>
  </si>
  <si>
    <t>Указывается общее изменение стоимости основных фондов.</t>
  </si>
  <si>
    <t>4.1</t>
  </si>
  <si>
    <t>изменение стоимости основных фондов за счет их ввода в эксплуатацию (вывода из эксплуатации)</t>
  </si>
  <si>
    <t>Указываются общее изменение стоимости основных фондов за счет их ввода в эксплуатацию (вывода из эксплуатации).</t>
  </si>
  <si>
    <t>4.1.1</t>
  </si>
  <si>
    <t>изменение стоимости основных фондов за счет их ввода в эксплуатацию</t>
  </si>
  <si>
    <t>Указываются изменение стоимости основных фондов за счет их ввода в эксплуатацию.</t>
  </si>
  <si>
    <t>4.1.2</t>
  </si>
  <si>
    <t>изменение стоимости основных фондов за счет их вывода в эксплуатацию</t>
  </si>
  <si>
    <t>Указываются изменение стоимости основных фондов за счет их вывода из эксплуатации.</t>
  </si>
  <si>
    <t>4.1.3</t>
  </si>
  <si>
    <t>изменение стоимости основных фондов за счет их переоценки</t>
  </si>
  <si>
    <t>Указываются изменение стоимости основных фондов за счет их переоценки.</t>
  </si>
  <si>
    <t>-</t>
  </si>
  <si>
    <t>Указывается ссылка на документ, предварительно загруженный в хранилище файлов ФГИС ЕИАС._x000D_
Раскрывается организацией, выручка от регулируемых видов деятельности которой превышает 80 процентов совокупной выручки за отчетный год.</t>
  </si>
  <si>
    <t>Объём принятых твёрдых коммунальных отходов</t>
  </si>
  <si>
    <t>тыс. куб. м_x000D_
в год</t>
  </si>
  <si>
    <t>Указание объема принятых твёрдых коммунальных отходов необязательно при указании массы принятых твёрдых коммунальных отходов.</t>
  </si>
  <si>
    <t>Масса принятых твёрдых коммунальных отходов</t>
  </si>
  <si>
    <t>тонн в год</t>
  </si>
  <si>
    <t>Указание массы принятых твёрдых коммунальных отходов необязательно при указании объёма принятых твёрдых коммунальных отходов.</t>
  </si>
  <si>
    <t>Среднесписочная численность основного персонала</t>
  </si>
  <si>
    <t>Форма 6. Информация об основных показателях финансово-хозяйственной деятельности организации в отношении деятельности по транспортированию твердых коммунальных отходов за отчетный год</t>
  </si>
  <si>
    <t>Выручка от деятельности</t>
  </si>
  <si>
    <t>Указывается выручка от деятельности</t>
  </si>
  <si>
    <t>Себестоимость оказываемых услуг по регулируемому виду деятельности, включая:</t>
  </si>
  <si>
    <t>Указывается суммарная себестоимость</t>
  </si>
  <si>
    <t>расходы на оплату труда и страховые взносы на обязательное социальное страхование, выплачиваемые из фонда оплаты труда</t>
  </si>
  <si>
    <t>Указывается общая сумма расходов на оплату труда и страховых взносов</t>
  </si>
  <si>
    <t xml:space="preserve">расходы на оплату труда </t>
  </si>
  <si>
    <t xml:space="preserve">страховые взносы на обязательное социальное страхование, выплачиваемые из фонда оплаты труда </t>
  </si>
  <si>
    <t>расходы на топливо и горюче-смазочные материалы для транспортных средств, используемых для транспортирования твёрдых коммунальных отходов</t>
  </si>
  <si>
    <t>расходы на сырье и материалы для текущего технического обслуживания транспортных средств, используемых для транспортирования твёрдых коммунальных отходов</t>
  </si>
  <si>
    <t>ремонтные расходы и расходы на техническое обслуживание в отношении транспортных средств, используемых для транспортирования твёрдых коммунальных отходов (за исключением расходов, указанных в пункте 2.3 данной формы)</t>
  </si>
  <si>
    <t>расходы на амортизацию транспортных средств, используемых для транспортирования твёрдых коммунальных отходов</t>
  </si>
  <si>
    <t>расходы на арендную плату и лизинговые платежи в отношении транспортных средств, используемых для транспортирования твёрдых коммунальных отходов</t>
  </si>
  <si>
    <t>административные расходы (за исключением расходов, предусмотренных пунктами 2.1 и 2.8 данной формы)</t>
  </si>
  <si>
    <t>расходы, связанные с оплатой налогов, сборов и других обязательных платежей (в том числе с обязательным страхованием гражданской ответственности владельцев транспортных средств, оснащением и обеспечением функционирования аппаратуры спутниковой навигации ГЛОНАСС или ГЛОНАСС/GPS)</t>
  </si>
  <si>
    <t>прочие расходы</t>
  </si>
  <si>
    <t>Чистая прибыль в отношении деятельности по транспортированию твёрдых коммунальных отходов</t>
  </si>
  <si>
    <t>Изменение стоимости основных фондов (транспортных средств, используемых для транспортирования твёрдых коммунальных отходов), в том числе:</t>
  </si>
  <si>
    <t>Указывается общее изменение стоимости основных фондов за счет их ввода в эксплуатацию (вывода из эксплуатации), переоценки.</t>
  </si>
  <si>
    <t>Указывается изменение стоимости основных фондов за счет их ввода в эксплуатацию.</t>
  </si>
  <si>
    <t>4.2</t>
  </si>
  <si>
    <t>изменение стоимости основных фондов за счет их вывода из эксплуатации</t>
  </si>
  <si>
    <t>Указывается изменение стоимости основных фондов за счет их вывода из эксплуатации.</t>
  </si>
  <si>
    <t>4.3</t>
  </si>
  <si>
    <t>Указывается изменение стоимости основных фондов за счет их переоценки.</t>
  </si>
  <si>
    <t>Указывается ссылка на документ, предварительно загруженный в хранилище файлов ФГИС ЕИАС._x000D_
Раскрывается организацией, выручка от деятельности по транспортированию твёрдых коммунальных отходов которой превышает 80 процентов совокупной выручки за отчетный год.</t>
  </si>
  <si>
    <t>Объём принятых для транспортирования твёрдых коммунальных отходов</t>
  </si>
  <si>
    <t>Масса принятых для транспортирования твёрдых коммунальных отходов</t>
  </si>
  <si>
    <t>&lt;1&gt;</t>
  </si>
  <si>
    <t>В 2023 году операторы по обращению с твёрдыми коммунальными отходами, осуществляющие деятельность по транспортированию твёрдых коммунальных отходов, раскрывают в данной форме информацию, сформированную на дату раскрытия информации.</t>
  </si>
  <si>
    <t>В случае, если оператор по обращению с твёрдыми коммунальными отходами, осуществляющий деятельность по транспортированию твёрдых коммунальных отходов, обеспечивает транспортирование твёрдых коммунальных отходов в разных зонах деятельности регионального оператора, на разных территориях в пределах одной зоны деятельности регионального оператора, то информация раскрывается по каждой зоне деятельности регионального оператора, по каждой территории в пределах зоны деятельности регионального оператора.</t>
  </si>
  <si>
    <t>Информация, подлежащая раскрытию</t>
  </si>
  <si>
    <t>HEAT</t>
  </si>
  <si>
    <t>Количество аварий на тепловых сетях</t>
  </si>
  <si>
    <t>ед. на км</t>
  </si>
  <si>
    <t>Указывается количество любых нарушений на тепловых сетях в расчете на один километр трубопровода.</t>
  </si>
  <si>
    <t>Количество аварий на источниках тепловой энергии</t>
  </si>
  <si>
    <t>ед. на источник</t>
  </si>
  <si>
    <t>Указывается количество любых нарушений на источниках тепловой энергии</t>
  </si>
  <si>
    <t>Сведения о несоблюдении значений параметров качества теплоснабжения и (или) параметров, отражающих допустимые перерывы в теплоснабжении</t>
  </si>
  <si>
    <t>Информация в данной строке раскрывается только единой теплоснабжающей организацией в ценовых зонах теплоснабжения (обобщенная информация о количестве составленных актов, подтверждающих факт превышения разрешенных отклонений значений параметров, о средней продолжительности устранения превышения разрешенных отклонений значений параметров, о совокупной величине снижения размера платы за тепловую энергию (мощность) потребителям в связи с превышением разрешенных отклонений значений параметров)</t>
  </si>
  <si>
    <t>количество составленных актов, подтверждающих факт превышения разрешенных отклонений значений параметров</t>
  </si>
  <si>
    <t>шт.</t>
  </si>
  <si>
    <t>средняя продолжительность устранения превышения разрешенных отклонений значений параметров</t>
  </si>
  <si>
    <t>дн.</t>
  </si>
  <si>
    <t>совокупная величина снижения размера платы за тепловую энергию (мощность) потребителям в связи с превышением разрешенных отклонений значений параметров</t>
  </si>
  <si>
    <t>Показатели надежности и энергетической эффективности, установленные в соответствии с законодательством Российской Федерации</t>
  </si>
  <si>
    <t>В колонке «Ссылка на документ» указывается материал в виде ссылки на документ, содержащий информацию об установленных показателях, предварительно загруженный в хранилище данных ФГИС ЕИАС._x000D_
В случае, если показатели не утверждены в колонке «Информация» указывается «Не утверждены»._x000D_
Информация в данной строке не раскрывается единой теплоснабжающей организацией в ценовых зонах теплоснабжения, теплоснабжающей организацией в ценовых зонах теплоснабжения и теплосетевой организацией в ценовых зонах теплоснабжения.</t>
  </si>
  <si>
    <t>Плановые показатели надежности объектов теплоснабжения</t>
  </si>
  <si>
    <t>количество прекращений подачи тепловой энергии, теплоносителя в результате технологических нарушений на тепловых сетях на 1 км тепловых сетей</t>
  </si>
  <si>
    <t>ед.в год/км</t>
  </si>
  <si>
    <t>количество прекращений подачи тепловой энергии, теплоносителя в результате технологических нарушений на источниках тепловой энергии на 1 Гкал/час установленной мощности</t>
  </si>
  <si>
    <t xml:space="preserve"> ед.в год/Гкал/час</t>
  </si>
  <si>
    <t xml:space="preserve">Плановые показатели энергетической эффективности объектов теплоснабжения </t>
  </si>
  <si>
    <t>4.2.1</t>
  </si>
  <si>
    <t>удельный расход топлива на производство единицы тепловой энергии, отпускаемой с коллекторов источников тепловой энергии</t>
  </si>
  <si>
    <t>т.у.т./Гкал</t>
  </si>
  <si>
    <t>4.2.2</t>
  </si>
  <si>
    <t>отношение величины технологических потерь к материальной характеристике тепловой сети</t>
  </si>
  <si>
    <t>4.2.1.1</t>
  </si>
  <si>
    <t>при передаче тепловой энергии</t>
  </si>
  <si>
    <t>Гкал/кв.м</t>
  </si>
  <si>
    <t>4.2.1.2</t>
  </si>
  <si>
    <t>при передаче теплоносителя</t>
  </si>
  <si>
    <t>тонн/кв.м</t>
  </si>
  <si>
    <t>4.2.3</t>
  </si>
  <si>
    <t>величина технологических потерь</t>
  </si>
  <si>
    <t>4.2.3.1</t>
  </si>
  <si>
    <t>Гкал/год</t>
  </si>
  <si>
    <t>4.2.3.2</t>
  </si>
  <si>
    <t>при передаче теплоносителя по тепловым сетям</t>
  </si>
  <si>
    <t>тонн/год</t>
  </si>
  <si>
    <t>Доля исполненных в срок договоров о подключении (технологическом присоединении) к системе теплоснабжения</t>
  </si>
  <si>
    <t>Указывается процент от общего количества заключенных договоров о подключении (технологическом присоединении) к системе теплоснабжения._x000D_
_x000D_
Единой теплоснабжающей организацией указывается доля числа исполненных в срок договоров о подключении (технологическом присоединении) к системе теплоснабжения в зоне ее деятельности в ценовых зонах теплоснабжения (процентов общего количества заключенных договоров о подключении (технологическом присоединении) к системе теплоснабжения._x000D_
Информация в данной строке не раскрывается теплоснабжающей организацией в ценовых зонах теплоснабжения и теплосетевой организацией в ценовых зонах теплоснабжения</t>
  </si>
  <si>
    <t>Средняя продолжительность рассмотрения заявок на заключение договоров о подключении (технологическом присоединении) к системе теплоснабжения</t>
  </si>
  <si>
    <t>Единой теплоснабжающей организацией информация раскрывается в зоне ее деятельности в ценовых зонах теплоснабжения_x000D_
Информация в данной строке не раскрывается теплоснабжающей организацией в ценовых зонах теплоснабжения и теплосетевой организацией в ценовых зонах теплоснабжения.</t>
  </si>
  <si>
    <t xml:space="preserve">Едиными теплоснабжающими организациями, теплоснабжающими и теплосетевыми организациями в ценовых зонах теплоснабжения указывается информация об основных потребительских </t>
  </si>
  <si>
    <t>характеристиках товаров и услуг, поставляемых и оказываемых этими организациями в ценовых зонах теплоснабжения.</t>
  </si>
  <si>
    <t>COLDVSNA</t>
  </si>
  <si>
    <t>Количество аварий на системах холодного водоснабжения</t>
  </si>
  <si>
    <t>Указывается количество любых нарушений функционирования системы холодного водоснабжения в расчете на один километр трубопровода.</t>
  </si>
  <si>
    <t>Количество случаев временного ограничения холодного водоснабжения по графику</t>
  </si>
  <si>
    <t>количество случаев ограничения холодного водоснабжения по графику для ограничений сроком менее 24 часов в сутки</t>
  </si>
  <si>
    <t>ед.</t>
  </si>
  <si>
    <t>Указывается суммарное количество ограничения холодного водоснабжения по графику в течение отчетного периода. В расчет принимаются ограничения сроком менее 24 часов каждое.</t>
  </si>
  <si>
    <t>срок действия ограничений холодного водоснабжения по графику для ограничений сроком менее 24 часов в сутки</t>
  </si>
  <si>
    <t>ч</t>
  </si>
  <si>
    <t>Указывается сумма времени ограничения холодного водоснабжения по графику в течение отчетного периода. В расчет принимаются ограничения сроком менее 24 часов каждое.</t>
  </si>
  <si>
    <t>Доля потребителей, в отношении которых ограничено холодное водоснабжение:</t>
  </si>
  <si>
    <t>доля потребителей, в отношении которых ограничено холодное водоснабжение сроком менее 24 часов в сутки</t>
  </si>
  <si>
    <t>Указывается отношение количества потребителей, затронутых как минимум одним ограничением подачи холодной воды по графику длительностью менее 24 часа в течение отчетного периода, и суммарного количества обслуживаемых потребителей.</t>
  </si>
  <si>
    <t>доля потребителей, в отношении которых ограничено холодное водоснабжение сроком 24 часа в сутки и более</t>
  </si>
  <si>
    <t>Указывается отношение количества потребителей, затронутых как минимум одним ограничением подачи холодной воды по графику длительностью 24 часа и более в течение отчетного периода, и суммарного количества обслуживаемых потребителей.</t>
  </si>
  <si>
    <t>Общее количество отобранных проб питьевой воды по следующим показателям</t>
  </si>
  <si>
    <t>мутность</t>
  </si>
  <si>
    <t>цветность</t>
  </si>
  <si>
    <t>хлор остаточный общий, в том числе:</t>
  </si>
  <si>
    <t>4.3.1</t>
  </si>
  <si>
    <t>хлор остаточный связанный</t>
  </si>
  <si>
    <t>4.3.2</t>
  </si>
  <si>
    <t>хлор остаточный свободный</t>
  </si>
  <si>
    <t>4.4</t>
  </si>
  <si>
    <t>общие колиформные бактерии</t>
  </si>
  <si>
    <t>4.5</t>
  </si>
  <si>
    <t>термотолерантные колиформные бактерии</t>
  </si>
  <si>
    <t>Количество отобранных проб питьевой воды, показатели которых не соответствуют нормативам качества питьевой воды в соответствии с санитарно-эпидемиологическими требованиями к питьевой воде (предельно допустимой концентрации в воде) по следующим показателям:</t>
  </si>
  <si>
    <t>5.2</t>
  </si>
  <si>
    <t>5.3</t>
  </si>
  <si>
    <t>5.3.1</t>
  </si>
  <si>
    <t>5.3.2</t>
  </si>
  <si>
    <t>5.4</t>
  </si>
  <si>
    <t>5.5</t>
  </si>
  <si>
    <t>Доля исполненных в срок договоров о подключении (технологическом присоединении) к централизованной системе холодного водоснабжения</t>
  </si>
  <si>
    <t>Указывается процент общего количества заключенных договоров о подключении (технологическом присоединении) к централизованной системе холодного водоснабжения.</t>
  </si>
  <si>
    <t>Средняя продолжительность рассмотрения заявлений о заключении договоров о подключении (технологическом присоединении) к централизованной системе холодного водоснабжения</t>
  </si>
  <si>
    <t>О результатах технического обследования централизованных систем холодного водоснабжения, в том числе:</t>
  </si>
  <si>
    <t>8.1</t>
  </si>
  <si>
    <t>о фактических значениях показателей технико-экономического состояния централизованных систем холодного водоснабжения, включая значения показателей физического износа и энергетической эффективности объектов централизованных систем холодного водоснабжения.</t>
  </si>
  <si>
    <t>HOTVSNA</t>
  </si>
  <si>
    <t>Количество аварий на системах горячего водоснабжения</t>
  </si>
  <si>
    <t>Указывается количество нарушений функционирования системы горячего водоснабжения в расчете на один километр трубопровода.</t>
  </si>
  <si>
    <t>Количество часов (суммарно за календарный год), превышающих установленную продолжительность временного прекращения или ограничения горячего водоснабжения, и доля потребителей (процентов), в отношении которых было осуществлено временное прекращение или ограничение горячего водоснабжения</t>
  </si>
  <si>
    <t>количество часов (суммарно за календарный год), превышающих установленную продолжительность временного прекращения горячего водоснабжения</t>
  </si>
  <si>
    <t>количество часов (суммарно за календарный год), превышающих установленную продолжительность ограничения горячего водоснабжения</t>
  </si>
  <si>
    <t>доля потребителей, в отношении которых было осуществлено временное прекращение горячего водоснабжения</t>
  </si>
  <si>
    <t>доля потребителей, в отношении которых было осуществлено ограничение горячего водоснабжения</t>
  </si>
  <si>
    <t>Количество часов (суммарно за календарный год) отклонения показателей температуры подачи горячей воды от нормативных значений в точке разбора</t>
  </si>
  <si>
    <t>Доля исполненных в срок договоров о подключении (технологическом присоединении) к централизованной системе горячего водоснабжения (процентов общего количества заключенных договоров о подключении (технологическом присоединении) к централизованной системе горячего водоснабжения)</t>
  </si>
  <si>
    <t>Средняя продолжительность рассмотрения заявлений о заключении договоров о подключении (технологическом присоединении) к централизованной системе горячего водоснабжения</t>
  </si>
  <si>
    <t>О результатах технического обследования централизованных систем горячего водоснабжения, в том числе:</t>
  </si>
  <si>
    <t>о фактических значениях показателей технико-экономического состояния централизованных систем горячего водоснабжения, включая значения показателей физического износа и энергетической эффективности объектов централизованных систем горячего водоснабжения</t>
  </si>
  <si>
    <t>VOTV</t>
  </si>
  <si>
    <t>Показатели аварийности на канализационных сетях</t>
  </si>
  <si>
    <t>Указывается количество любых нарушений на канализационных сетях.</t>
  </si>
  <si>
    <t>Количество засоров на самотечных сетях</t>
  </si>
  <si>
    <t>Указывается количество засоров на самотечных сетях.</t>
  </si>
  <si>
    <t>Общее количество отобранных проб на сбросе очищенных (частично очищенных) сточных вод:</t>
  </si>
  <si>
    <t>Указывается суммарное количество проведенных проб на сбросе очищенных вод.</t>
  </si>
  <si>
    <t>взвешенные вещества</t>
  </si>
  <si>
    <t>БПК5</t>
  </si>
  <si>
    <t>аммоний-ион</t>
  </si>
  <si>
    <t>нитрит-анион</t>
  </si>
  <si>
    <t>3.5</t>
  </si>
  <si>
    <t>фосфаты (по Р)</t>
  </si>
  <si>
    <t>3.6</t>
  </si>
  <si>
    <t>нефтепродукты</t>
  </si>
  <si>
    <t>3.7</t>
  </si>
  <si>
    <t>микробиология</t>
  </si>
  <si>
    <t>Количество отобранных проб, показатели которых не соответствуют установленным нормативам состава сточных вод (предельно допустимой концентрации веществ и микроорганизмов) на сбросе очищенных (частично очищенных) сточных вод:</t>
  </si>
  <si>
    <t>Указывается суммарное количество отобранных проб, выявивших несоответствие очищенных сточных вод санитарным нормам (предельно допустимой концентрации) на сбросе очищенных (частично очищенных) сточных вод.</t>
  </si>
  <si>
    <t>4.6</t>
  </si>
  <si>
    <t>4.7</t>
  </si>
  <si>
    <t>Доля исполненных в срок договоров о подключении (технологическом присоединении) к централизованной системе водоотведения</t>
  </si>
  <si>
    <t>Указывается процент от общего количества заключенных договоров о подключении (технологическом присоединении) к централизованной системе водоотведения</t>
  </si>
  <si>
    <t>Средняя продолжительность рассмотрения заявлений о заключении договоров о подключении (технологическом присоединении) к централизованной системе водоотведения</t>
  </si>
  <si>
    <t>О результатах технического обследования централизованных систем водоотведения, в том числе:</t>
  </si>
  <si>
    <t>7.1</t>
  </si>
  <si>
    <t>о фактических значениях показателей технико-экономического состояния централизованных систем водоотведения, включая значения показателей физического износа и энергетической эффективности объектов централизованных систем водоотведения</t>
  </si>
  <si>
    <t>О  нормативах допустимых сбросов загрязняющих веществ в составе сточных вод в водные объекты, установленных для объектов централизованных систем водоотведения, эксплуатируемых организацией водоотведения, в соответствии с законодательством Российской Федерации об охране окружающей среды (о лимитах на сбросы загрязняющих веществ, установленных для объектов централизованных систем водоотведения, эксплуатируемых организацией водоотведения, в соответствии с законодательством Российской Федерации об охране окружающей среды</t>
  </si>
  <si>
    <t>О показателях эффективности удаления загрязняющих веществ очистными сооружениями регулируемых организаций</t>
  </si>
  <si>
    <t>Наименование выведенного источника тепловой энергии</t>
  </si>
  <si>
    <t>В случае вывода из эксплуатации нескольких источников тепловой энергии информация по каждому из них указывается в отдельно.</t>
  </si>
  <si>
    <t>Дата вывода</t>
  </si>
  <si>
    <t>Дата вывода указывается в виде «ДД.ММ.ГГГГ».</t>
  </si>
  <si>
    <t>Наименование тепловой сети</t>
  </si>
  <si>
    <t>В случае вывода из эксплуатации нескольких тепловых сетей информация по каждой из них указывается в отдельно.</t>
  </si>
  <si>
    <t>Описание ограничения подачи тепловой энергии потребителям</t>
  </si>
  <si>
    <t>Дата начала ограничения</t>
  </si>
  <si>
    <t>Дата начала ограничения указывается в виде «ДД.ММ.ГГГГ».</t>
  </si>
  <si>
    <t>Дата завершения ограничения</t>
  </si>
  <si>
    <t>Дата завершения ограничения указывается в виде «ДД.ММ.ГГГГ».</t>
  </si>
  <si>
    <t>Описание прекращения режима потребления</t>
  </si>
  <si>
    <t>В колонке «Ссылка на документ» указывается материал в виде ссылки на документ, обосновывающий прекращение подачи тепловой энергии потребителям, предварительно загруженный в хранилище данных ФГИС ЕИАС.</t>
  </si>
  <si>
    <t>Дата прекращения</t>
  </si>
  <si>
    <t>Дата прекращения указывается в виде «ДД.ММ.ГГГГ».</t>
  </si>
  <si>
    <t>1.0</t>
  </si>
  <si>
    <t>Сведения о выводе источников тепловой энергии из эксплуатации</t>
  </si>
  <si>
    <t>Сведения о выводе тепловых сетей из эксплуатации</t>
  </si>
  <si>
    <t>Добавить тепловую сеть</t>
  </si>
  <si>
    <t>3.0</t>
  </si>
  <si>
    <t>Сведения об основаниях ограничения подачи тепловой энергии</t>
  </si>
  <si>
    <t>Осуществлялось</t>
  </si>
  <si>
    <t>В случае, если ограничения подачи тепловой энергии тепловой энергии не происходили, в колонке «Информация» указывается «Не осуществлялось»._x000D_
Указывается информация о случаях ограничения подачи тепловой энергии потребителям в случаях, предусмотренных законодательством в сфере теплоснабжения._x000D_
В неоднократных ограничений подачи потребления тепловой энергии потребителями информация по каждому случаю указывается отдельно.</t>
  </si>
  <si>
    <t>Добавить ограничение подачи ТЭ</t>
  </si>
  <si>
    <t>4.0</t>
  </si>
  <si>
    <t>Сведения об основаниях прекращения подачи тепловой энергии потребителям</t>
  </si>
  <si>
    <t>В случае, если прекращения подачи тепловой энергии потребителям не происходили, в колонке «Информация» указывается «Не осуществлялось»._x000D_
Указывается информация о случаях прекращения подачи тепловой энергии потребителям, предусмотренных законодательством в сфере теплоснабжения._x000D_
В случае нескольких прекращений подачи тепловой энергии потребителям информация по каждому случаю указывается отдельно.</t>
  </si>
  <si>
    <t>Добавить прекращение подачи ТЭ</t>
  </si>
  <si>
    <t>Наименование ИП</t>
  </si>
  <si>
    <t>Инвестиционная программа разбивается по мероприятиям и (или) группам мероприятий</t>
  </si>
  <si>
    <t>Дата утверждения инвестиционной программы</t>
  </si>
  <si>
    <t>Дата изменения инвестиционной программы</t>
  </si>
  <si>
    <t>Цель инвестиционной программы</t>
  </si>
  <si>
    <t>Наименование исполнительного органа субъекта Российской Федерации (органа местного самоуправления), утвердившего инвестиционную программу</t>
  </si>
  <si>
    <t>Наименование органа местного самоуправления, согласовавшего инвестиционную программу</t>
  </si>
  <si>
    <t>Период реализации инвестиционной программы</t>
  </si>
  <si>
    <t>Решение уполномоченного органа об утверждении инвестиционной программы</t>
  </si>
  <si>
    <t>Решение уполномоченного органа о внесении изменений, корректировке инвестиционной программы</t>
  </si>
  <si>
    <t>О наличии в инвестиционной программе мероприятий, включенных в концессионное(-ые) соглашение(-я)</t>
  </si>
  <si>
    <t>Дата начала</t>
  </si>
  <si>
    <t>Дата окончания</t>
  </si>
  <si>
    <t>Период реализации</t>
  </si>
  <si>
    <t>Вид</t>
  </si>
  <si>
    <t>Номер</t>
  </si>
  <si>
    <t>Дата принятия</t>
  </si>
  <si>
    <t>Тип</t>
  </si>
  <si>
    <t>Наличие</t>
  </si>
  <si>
    <t>Реквизиты концессионного(-ых) соглашения(-ий)</t>
  </si>
  <si>
    <t>ip_1</t>
  </si>
  <si>
    <t>Добавить инвестиционную программу</t>
  </si>
  <si>
    <t>Год реализации инвестиционной программы</t>
  </si>
  <si>
    <t>№ п/п_x000D_
мероприятия</t>
  </si>
  <si>
    <t>Группа, к которой относятся мероприятия инвестиционной программы</t>
  </si>
  <si>
    <t>Мероприятие</t>
  </si>
  <si>
    <t>№ источника</t>
  </si>
  <si>
    <t>О плановых и фактических размерах и источниках финансирования предусмотренных в утвержденной инвестиционной программе с распределением по годам</t>
  </si>
  <si>
    <t>Плановый срок реализации мероприятия и (или) группы мероприятий с распределением по годам</t>
  </si>
  <si>
    <t>Плановый срок ввода в эксплуатацию/выполнения мероприятия и (или) группы мероприятий</t>
  </si>
  <si>
    <t>Фактический срок реализации мероприятия и (или) группы мероприятий с распределением по годам</t>
  </si>
  <si>
    <t>Фактический срок ввода в эксплуатацию/выполнения мероприятия и (или) группы мероприятий</t>
  </si>
  <si>
    <t>Наименование мероприятия</t>
  </si>
  <si>
    <t>Входит в концессионное соглашение</t>
  </si>
  <si>
    <t>Объект инфраструктуры</t>
  </si>
  <si>
    <t>Признак</t>
  </si>
  <si>
    <t>Номер концессионного соглашения</t>
  </si>
  <si>
    <t>№ объекта</t>
  </si>
  <si>
    <t>Наименование объекта</t>
  </si>
  <si>
    <t>Тип объекта</t>
  </si>
  <si>
    <t>Адрес объекта</t>
  </si>
  <si>
    <t>План</t>
  </si>
  <si>
    <t>Факт</t>
  </si>
  <si>
    <t>в том числе</t>
  </si>
  <si>
    <t>Населенный пункт</t>
  </si>
  <si>
    <t>улица, проезд, проспект, переулок, и т.п.</t>
  </si>
  <si>
    <t>дом, корпус, строение</t>
  </si>
  <si>
    <t>Источник финансирования</t>
  </si>
  <si>
    <t>Размер финансирования</t>
  </si>
  <si>
    <t>месяц</t>
  </si>
  <si>
    <t>год</t>
  </si>
  <si>
    <r>
      <rPr>
        <charset val="204"/>
        <family val="2"/>
        <rFont val="Tahoma"/>
        <sz val="9"/>
        <vertAlign val="superscript"/>
      </rPr>
      <t>1</t>
    </r>
    <r>
      <rPr>
        <charset val="204"/>
        <family val="2"/>
        <rFont val="Tahoma"/>
        <sz val="9"/>
      </rPr>
      <t xml:space="preserve"> В соответствии с утвержденной инвестиционной программой</t>
    </r>
  </si>
  <si>
    <t>Источники финансирования</t>
  </si>
  <si>
    <t>Объем фактического выполнения за счет источников финансирования (тыс. руб. без НДС)</t>
  </si>
  <si>
    <t>Всего</t>
  </si>
  <si>
    <t>I</t>
  </si>
  <si>
    <t>Расходы на мероприятия инвестиционной программы</t>
  </si>
  <si>
    <t>Собственные средства</t>
  </si>
  <si>
    <t>1.1</t>
  </si>
  <si>
    <t>Амортизационные отчисления за исключением переоценки основных средств и нематериальных активов</t>
  </si>
  <si>
    <t>1.2</t>
  </si>
  <si>
    <t>Амортизационные отчисления в результате переоценки основных средств и нематериальных активов</t>
  </si>
  <si>
    <t>1.3</t>
  </si>
  <si>
    <t>Капитальные вложения (инвестиции), финансируемые за счет нормативной прибыли, учитываемой в необходимой валовой выручке</t>
  </si>
  <si>
    <t>1.4</t>
  </si>
  <si>
    <t>Экономия расходов, достигнутая регулируемой организацией в результате реализации мероприятий инвестиционной программы за счет амортизационных отчислений</t>
  </si>
  <si>
    <t>1.5</t>
  </si>
  <si>
    <t>Экономия расходов, достигнутая регулируемой организацией в результате реализации мероприятий инвестиционной программы за счет капитальных вложений в составе нормативной прибыли</t>
  </si>
  <si>
    <t>1.6</t>
  </si>
  <si>
    <t>Экономия расходов, достигнутая регулируемой организацией в результате реализации мероприятий инвестиционной программы за счет прочих собственных средств</t>
  </si>
  <si>
    <t>1.7</t>
  </si>
  <si>
    <t>Экономия расходов, достигнутая регулируемой организацией в результате реализации мероприятий инвестиционной программы за счет за счет займов и кредитов</t>
  </si>
  <si>
    <t>1.8</t>
  </si>
  <si>
    <t>Экономия средств, достигнутая регулируемой организацией в результате снижения расходов</t>
  </si>
  <si>
    <t>1.9</t>
  </si>
  <si>
    <t>Средства, полученные за счет платы за подключение (технологическое присоединение)</t>
  </si>
  <si>
    <t>1.10</t>
  </si>
  <si>
    <t>Средства, полученные регулируемой организацией в виде платы за сброс загрязняющих веществ сверх установленных нормативов состава сточных вод</t>
  </si>
  <si>
    <t>1.11</t>
  </si>
  <si>
    <t>Средства, полученные регулируемой организацией в виде платы за негативное воздействие на работу централизованной системы водоотведения</t>
  </si>
  <si>
    <t>1.12</t>
  </si>
  <si>
    <t>Прочие собственные средства</t>
  </si>
  <si>
    <t>Привлеченные средства</t>
  </si>
  <si>
    <t>Займы</t>
  </si>
  <si>
    <t>Кредиты</t>
  </si>
  <si>
    <t>Прочие привлеченные средства</t>
  </si>
  <si>
    <t>Бюджетное финансирование</t>
  </si>
  <si>
    <t>Плата концедента на строительство, модернизацию и (или) реконструкцию объекта концессионного соглашения в размере, предусмотренном заключенным концессионным соглашением</t>
  </si>
  <si>
    <t>Иные бюджетные средства.</t>
  </si>
  <si>
    <t>Прочие источники финансирования</t>
  </si>
  <si>
    <t>ИТОГО по программе</t>
  </si>
  <si>
    <t>II</t>
  </si>
  <si>
    <t>Средства на возврат займов и кредитов, привлекаемых на реализацию мероприятий инвестиционной программы, а также на проценты по таким займам и кредитам*</t>
  </si>
  <si>
    <t>Cредства на возврат займов и кредитов, привлекаемых на реализацию мероприятий инвестиционной программ</t>
  </si>
  <si>
    <t>1.1.1</t>
  </si>
  <si>
    <t>Финансируемые за счет нормативной прибыли, учитываемой в необходимой валовой выручке</t>
  </si>
  <si>
    <t>1.1.2</t>
  </si>
  <si>
    <t>Амортизационные отчисления</t>
  </si>
  <si>
    <t>1.1.3</t>
  </si>
  <si>
    <t>Иные собственные средства</t>
  </si>
  <si>
    <t>1.1.4</t>
  </si>
  <si>
    <t>Средства, полученные регулируемой организацией в виде платы за негативное воздействие абонентов на работу централизованной системы водоотведения</t>
  </si>
  <si>
    <t>1.2.1</t>
  </si>
  <si>
    <t>1.2.2</t>
  </si>
  <si>
    <t xml:space="preserve">Прочие источники </t>
  </si>
  <si>
    <t>Cредства на проценты по займам и кредитам, привлекаемым на реализацию мероприятий инвестиционной программ</t>
  </si>
  <si>
    <t>2.1.3</t>
  </si>
  <si>
    <t>2.1.4</t>
  </si>
  <si>
    <t>WARM FEATURES</t>
  </si>
  <si>
    <t>OTKO FEATURES</t>
  </si>
  <si>
    <t>Цель(-и) ИП</t>
  </si>
  <si>
    <t>Способ утверждения показателей</t>
  </si>
  <si>
    <t>Описание способа утверждения показателей</t>
  </si>
  <si>
    <t>Показатели качества, надежности и бесперебойности, энергетической эффективности</t>
  </si>
  <si>
    <t>Показатели надежности</t>
  </si>
  <si>
    <t xml:space="preserve">Показатели энергетической эффективности </t>
  </si>
  <si>
    <t>Показатели качества питьевой воды</t>
  </si>
  <si>
    <t>Показатели качества горячей воды</t>
  </si>
  <si>
    <t>Показатели надежности и бесперебойности</t>
  </si>
  <si>
    <t>Показатели энергетической эффективности</t>
  </si>
  <si>
    <t>Показатели очистки сточных вод</t>
  </si>
  <si>
    <t>Показатель надежности и бесперебойности</t>
  </si>
  <si>
    <t>Количество прекращений подачи тепловой энергии, теплоносителя в результате технологических нарушений</t>
  </si>
  <si>
    <t>удельный расход топлива на производство единицы тепловой энергии</t>
  </si>
  <si>
    <t>Отношение величины технологических потерь к материальной характеристике тепловой сети</t>
  </si>
  <si>
    <t>Величина технологических потерь</t>
  </si>
  <si>
    <t>Доля проб питьевой воды, подаваемой с источников водоснабжения, водопроводных станций или иных объектов централизованной системы водоснабжения в распределительную водопроводную сеть, не соответствующих установленным требованиям, в общем объёме проб, отобранных по результатам производственного контроля качества питьевой воды</t>
  </si>
  <si>
    <t>Доля проб питьевой воды в распределительной водопроводной сети, не соответствующих установленным требованиям, в общем объёме проб, отобранных по результатам производственного контроля качества питьевой воды</t>
  </si>
  <si>
    <t>Доля проб горячей воды в тепловой сети или в сети горячего водоснабжения, не соответствующих установленным требованиям по температуре, в общем объёме проб, отобранных по результатам производственного контроля качества горячей воды</t>
  </si>
  <si>
    <t>Доля проб горячей воды в тепловой сети или в сети горячего водоснабжения, не соответствующих установленным требованиям (за исключением температуры), в общем объёме проб, отобранных по результатам производственного контроля качества горячей воды</t>
  </si>
  <si>
    <t xml:space="preserve"> Количество перерывов в подаче воды, зафиксированных в местах исполнения обязательств организацией, осуществляющей горячее водоснабжение, холодное водоснабжение, по подаче горячей воды, холодной воды, возникших в результате аварий, повреждений и иных технологических нарушений на объектах централизованной системы холодного водоснабжения, горячего водоснабжения, принадлежащих организации, осуществляющей горячее водоснабжение, холодное водоснабжение, в расчете на протяженность водопроводной сети</t>
  </si>
  <si>
    <t>Доля потерь воды в централизованных системах водоснабжения при транспортировке в общем объёме воды, поданной в водопроводную сеть</t>
  </si>
  <si>
    <t>Удельное количество тепловой энергии, расходуемое на подогрев горячей воды</t>
  </si>
  <si>
    <t>Удельный расход электрической энергии, потребляемой в технологическом процессе</t>
  </si>
  <si>
    <t>доля сточных вод, не подвергающихся очистке, в общем объёме сточных вод, сбрасываемых в централизованные общесплавные или бытовые системы водоотведения</t>
  </si>
  <si>
    <t xml:space="preserve"> доля поверхностных сточных вод, не подвергающихся очистке, в общем объёме поверхностных сточных вод, принимаемых в централизованную ливневую систему водоотведения</t>
  </si>
  <si>
    <t>доля проб сточных вод, не соответствующих установленным нормативам допустимых сбросов, лимитам на сбросы, рассчитанная применительно к видам централизованных систем водоотведения раздельно для централизованной общесплавной (бытовой) и централизованной ливневой систем водоотведения</t>
  </si>
  <si>
    <t>Удельное количество аварий и засоров в расчете на протяженность канализационной сети</t>
  </si>
  <si>
    <t>Удельный расход электрической энергии, потребляемой в технологическом процессе для:</t>
  </si>
  <si>
    <t>на тепловых сетях на 1 км тепловых сетей</t>
  </si>
  <si>
    <t>на источниках тепловой энергии на 1 Гкал/час установленной мощности</t>
  </si>
  <si>
    <t xml:space="preserve">подготовки питьевой воды, на единицу объёма воды, отпускаемой в сеть_x000D_
</t>
  </si>
  <si>
    <t xml:space="preserve">транспортировки питьевой воды, на единицу объёма транспортируемой воды_x000D_
</t>
  </si>
  <si>
    <t>очистки сточных вод, на единицу объёма очищаемых сточных вод</t>
  </si>
  <si>
    <t>транспортировки сточных вод, на единицу объёма транспортируемых сточных вод</t>
  </si>
  <si>
    <t>ед. в год/км</t>
  </si>
  <si>
    <t>Гкал/куб. м</t>
  </si>
  <si>
    <t>кВт*ч/куб. м</t>
  </si>
  <si>
    <t>кВт*ч/куб.м</t>
  </si>
  <si>
    <t>план</t>
  </si>
  <si>
    <t>факт</t>
  </si>
  <si>
    <t>ед</t>
  </si>
  <si>
    <t>5.0</t>
  </si>
  <si>
    <t>Добавить систему</t>
  </si>
  <si>
    <t>Добавить описание формы публичного договора</t>
  </si>
  <si>
    <t>Добавить описание договора</t>
  </si>
  <si>
    <t>сведения о договорах, заключенных в соответствии с частями 2.1 и 2.2 статьи 8 Федерального закона "О теплоснабжении"</t>
  </si>
  <si>
    <t>Статья 8 ФЗ 190-ФЗ_x000D_
2.1. Соглашением сторон договора теплоснабжения и (или) договора поставки тепловой энергии (мощности) и (или) теплоносителя, но не выше цен (тарифов) на соответствующие товары в сфере теплоснабжения, установленных органом регулирования в соответствии с основами ценообразования в сфере теплоснабжения и правилами регулирования цен (тарифов) в сфере теплоснабжения, утвержденными Правительством Российской Федерации, определяются следующие виды цен на товары в сфере теплоснабжения, за исключением тепловой энергии (мощности) и (или) теплоносителя, реализация которых необходима для оказания коммунальных услуг по отоплению и горячему водоснабжению населению и приравненным к нему категориям потребителей:_x000D_
1) цены на тепловую энергию (мощность), производимую и (или) поставляемую с использованием теплоносителя в виде пара теплоснабжающими организациями потребителям, другим теплоснабжающим организациям;_x000D_
2) цены на теплоноситель в виде пара, поставляемый теплоснабжающими организациями потребителям, другим теплоснабжающим организациям;_x000D_
3) цены на тепловую энергию (мощность), теплоноситель, поставляемые теплоснабжающей организацией, владеющей на праве собственности или ином законном основании источником тепловой энергии, потребителю, теплопотребляющие установки которого технологически соединены с этим источником тепловой энергии непосредственно или через тепловую сеть, принадлежащую на праве собственности и (или) ином законном основании указанной теплоснабжающей организации или указанному потребителю, если такие теплопотребляющие установки и такая тепловая сеть не имеют иного технологического соединения с системой теплоснабжения и к тепловым сетям указанного потребителя не присоединены теплопотребляющие установки иных потребителей._x000D_
(часть 2.1 введена Федеральным законом от 01.12.2014 № 404-ФЗ)_x000D_
2.2. С 1 января 2018 года цены, указанные в части 2.1 настоящей статьи, не подлежат регулированию и определяются соглашением сторон договора теплоснабжения и (или) договора поставки тепловой энергии (мощности) и (или) теплоносителя, за исключением случаев:_x000D_
1) реализации тепловой энергии (мощности) и (или) теплоносителя, необходимых для оказания коммунальных услуг по отоплению и горячему водоснабжению населению и приравненным к нему категориям потребителей;_x000D_
2) производства тепловой энергии (мощности), теплоносителя с использованием источника тепловой энергии, установленная мощность которого составляет менее десяти гигакалорий в час, и (или) осуществления поставки теплоснабжающей организацией потребителю тепловой энергии в объеме менее пятидесяти тысяч гигакалорий за 2017 год.</t>
  </si>
  <si>
    <t>Прочие договора</t>
  </si>
  <si>
    <t>Сведения об условиях договоров на оказание услуг по транспортированию твердых коммунальных отходов</t>
  </si>
  <si>
    <t xml:space="preserve"> Форма договора на оказание услуг</t>
  </si>
  <si>
    <t>Указывается форма договора, используемая организацией, в виде ссылки на документ, предварительно загруженный в хранилище файлов ФГИС ЕИАС, либо ссылка на официальный сайт в сети "Интернет", на котором размещена информация._x000D_
В случае наличия нескольких форм таких договоров информация по каждой из них указывается в отдельной строке.</t>
  </si>
  <si>
    <t>Добавить описание формы договора</t>
  </si>
  <si>
    <t>наименование НПА</t>
  </si>
  <si>
    <t>контактный телефон службы</t>
  </si>
  <si>
    <t>адрес службы</t>
  </si>
  <si>
    <t>график работы службы</t>
  </si>
  <si>
    <t>c 01:03 до 18:55</t>
  </si>
  <si>
    <t>Информация о размещении данных на сайте регулируемой организации</t>
  </si>
  <si>
    <t>дата размещения информации</t>
  </si>
  <si>
    <t>Дата размещения информации указывается в виде «ДД.ММ.ГГГГ».</t>
  </si>
  <si>
    <t>адрес страницы сайта в сети «Интернет» и ссылка на документ</t>
  </si>
  <si>
    <t>В колонке «Информация» указывается адрес страницы сайта в сети «Интернет», на которой размещена информация._x000D_
В колонке «Ссылка на документ» указывается ссылка на скриншот страницы сайта в сети «Интернет», предварительно загруженный в хранилище файлов ФГИС ЕИАС, на которой размещена информация.</t>
  </si>
  <si>
    <t xml:space="preserve">Указывается ссылка на документ, предварительно загруженный в хранилище файлов ФГИС ЕИАС._x000D_
В случае наличия дополнительных сведений информация по ним указывается в отдельных строках._x000D_
</t>
  </si>
  <si>
    <t>В колонке «Информация» указывается полное наименование и реквизиты НПА._x000D_
В случае наличия нескольких НПА каждое из них указывается в отдельной строке.</t>
  </si>
  <si>
    <t>5.1.1</t>
  </si>
  <si>
    <t>Указывается номер контактного телефона службы, ответственной за прием и обработку заявок о подключении к централизованной системе теплоснабжения. _x000D_
В случае наличия нескольких служб и (или) номеров телефонов, информация по каждому из них указывается в отдельной строке.</t>
  </si>
  <si>
    <t>5.2.1</t>
  </si>
  <si>
    <t>Указывается наименование субъекта Российской Федерации, муниципального района, города, иного населенного пункта, улицы, номер дома, при необходимости указывается корпус, строение, литера или дополнительная территория. Данные указываются согласно наименованиям адресных объектов в ФИАС._x000D_
В случае наличия нескольких служб и (или) адресов, информация по каждому из них указывается в отдельной строке.</t>
  </si>
  <si>
    <t>Указывается график работы службы, ответственной за прием и обработку заявок о подключении к централизованной системе теплоснабжения. _x000D_
В случае наличия нескольких служб и (или) графиков работы, информация по каждому из них указывается в отдельной строке.</t>
  </si>
  <si>
    <t>p1</t>
  </si>
  <si>
    <t>Добавить период</t>
  </si>
  <si>
    <t>p2</t>
  </si>
  <si>
    <t>Период действия тарифов</t>
  </si>
  <si>
    <t>с</t>
  </si>
  <si>
    <t>по</t>
  </si>
  <si>
    <t>p1_0</t>
  </si>
  <si>
    <t>метод индексации установленных тарифов</t>
  </si>
  <si>
    <t>https://portal.eias.ru/Portal/DownloadPage.aspx?type=12&amp;guid=f007fb3b-866a-4f39-9298-cd9e4ea91e4a</t>
  </si>
  <si>
    <t>Долгосрочные параметры регулирования указываются в случае выбора любого метода регулирования за исключением метода экономически обоснованных затрат в виде ссылки на документ, предварительно загруженный в хранилище файлов ФГИС ЕИАС.</t>
  </si>
  <si>
    <t>Необходимая валовая выручка на соответствующий период, в том числе с разбивкой по годам</t>
  </si>
  <si>
    <t>p2_0</t>
  </si>
  <si>
    <t>Положение о порядке проведения регламентированных закупок, товаров, работ, услуг</t>
  </si>
  <si>
    <t>https://portal.eias.ru/Portal/DownloadPage.aspx?type=12&amp;guid=110fdd4f-d261-48b6-b502-3a1878145ccf</t>
  </si>
  <si>
    <t>В колонке «Информация» указывается описательная информация, характеризующая размещаемые данные._x000D_
В колонке «Ссылка на документ» указывается либо ссылка на документ, предварительно загруженный в хранилище файлов ФГИС ЕИАС, либо ссылка на официальный сайт в сети «Интернет», на котором размещена информация.</t>
  </si>
  <si>
    <t>Форма 12. Информация об основных потребительских характеристиках товаров, услуг регулируемой организации, цены (тарифы) в сфере теплоснабжения на которые подлежат регулированию, об основных потребительских характеристиках товаров (услуг), поставляемых (оказываемых) единой теплоснабжающей организацией в ценовых зонах теплоснабжения, об основных потребительских характеристиках товаров (услуг), поставляемых (оказываемых) теплоснабжающей организацией в ценовых зонах теплоснабжения и теплосетевой организацией в ценовых зонах теплоснабжения</t>
  </si>
  <si>
    <t>Показатели надежности и качества, установленные в соответствии с законодательством Российской Федерации</t>
  </si>
  <si>
    <t>В колонке «Ссылка на документ» указывается материал в виде ссылки на документ, содержащий информацию об установленных показателях надежности и качества, предварительно загруженный в хранилище данных ФГИС ЕИАС._x000D_
В случае, если показатели надежности и качества не утверждены в колонке «Информация» указывается «Не утверждены»._x000D_
Информация в данной строке не указывается теплоснабжающими организациями, теплосетевыми организациями в ценовых зонах теплоснабжения.</t>
  </si>
  <si>
    <t>Информация в строках 3.1 – 3.3 указывается в случае, если организация имеет статус единой теплоснабжающей организации в ценовых зонах теплоснабжения.</t>
  </si>
  <si>
    <t>Доля числа исполненных в срок договоров о подключении</t>
  </si>
  <si>
    <t>Указывается процент общего количества заключенных договоров о подключении (технологическом присоединении)._x000D_
Информация в данной строке не указывается теплоснабжающими организациями, теплосетевыми организациями в ценовых зонах теплоснабжения.</t>
  </si>
  <si>
    <t>Средняя продолжительность рассмотрения заявлений о подключении</t>
  </si>
  <si>
    <t>Гкал/час</t>
  </si>
  <si>
    <t>Информация в данной строке не указывается теплоснабжающими организациями, теплосетевыми организациями в ценовых зонах теплоснабжения.</t>
  </si>
  <si>
    <t>REGION</t>
  </si>
  <si>
    <t>year_list1</t>
  </si>
  <si>
    <t>year_list</t>
  </si>
  <si>
    <t>logical</t>
  </si>
  <si>
    <t>Месяц_x000D_
(MONTH)</t>
  </si>
  <si>
    <t>Квартал_x000D_
(QUARTER)</t>
  </si>
  <si>
    <t>Месяц_x000D_
(kind_of_publication)</t>
  </si>
  <si>
    <t>НДС_x000D_
/kind_of_NDS/</t>
  </si>
  <si>
    <t>Номер СЦХВ(СЦВО)_x000D_
/SKI_number/</t>
  </si>
  <si>
    <t>Единица измерения объема оказываемых услуг ГВС_x000D_
/kind_of_unit_GVS/</t>
  </si>
  <si>
    <t>Метод регулирования_x000D_
/kind_of_control_method/</t>
  </si>
  <si>
    <t>Сколько раз встретилось</t>
  </si>
  <si>
    <t>Вид деятельности, на которую установлен тариф /kind_of_activity_WARM/</t>
  </si>
  <si>
    <t>Вид теплоносителя_x000D_
(kind_of_heat_transfer)</t>
  </si>
  <si>
    <t>Тип данных_x000D_
(kind_of_data_type)</t>
  </si>
  <si>
    <t>Схема подключения_x000D_
(kind_of_scheme_in)_x000D_
(kind_of_scheme_in2)</t>
  </si>
  <si>
    <t>Группы потребителей_x000D_
(kind_of_cons)</t>
  </si>
  <si>
    <t>Тип прокладки тепловых сетей_x000D_
(kind_of_nets)</t>
  </si>
  <si>
    <t>Диапазаны диаметров тепловых сетей_x000D_
(kind_of_diameters)</t>
  </si>
  <si>
    <t>Подключаемая тепловая нагрузка_x000D_
(kind_of_load)</t>
  </si>
  <si>
    <t>Форма 2, таблица Х</t>
  </si>
  <si>
    <t>виды тарифа_x000D_
/kind_group_rates/</t>
  </si>
  <si>
    <t>Заголовок таблицы</t>
  </si>
  <si>
    <t>name_rates_4</t>
  </si>
  <si>
    <t>name_rates_8</t>
  </si>
  <si>
    <t>Подключаемая тепловая нагрузка_x000D_
(kind_of_load3)</t>
  </si>
  <si>
    <t>Вид теплоносителя_x000D_
(kind_of_heat_transfer2)</t>
  </si>
  <si>
    <t>Вид теплоносителя_x000D_
(kind_of_heat_transfer3)</t>
  </si>
  <si>
    <t>Вид топлива_x000D_
(kind_of_fuel)</t>
  </si>
  <si>
    <t>Способ закупки товаров_x000D_
(kind_of_zak)</t>
  </si>
  <si>
    <t>виды тарифа_x000D_
/kind_group_rates_load/</t>
  </si>
  <si>
    <t>виды тарифа_x000D_
/kind_group_rates_load_filter/</t>
  </si>
  <si>
    <t>виды признаков дифференциации_x000D_
/kind_of_diff/</t>
  </si>
  <si>
    <t>Диапазаны диаметров водопроводных сетей_x000D_
(kind_of_diameters2)</t>
  </si>
  <si>
    <t>List_H</t>
  </si>
  <si>
    <t>List_M</t>
  </si>
  <si>
    <t>kind_of_org_type</t>
  </si>
  <si>
    <t>Виды топлива_x000D_
/kind_of_fuels/</t>
  </si>
  <si>
    <t>YEAR_IP_LIST</t>
  </si>
  <si>
    <t>MONTH_IP_LIST</t>
  </si>
  <si>
    <t>COLDVSNA/HOTVSNA</t>
  </si>
  <si>
    <t>OTKO</t>
  </si>
  <si>
    <t>Алтайский край</t>
  </si>
  <si>
    <t>январь</t>
  </si>
  <si>
    <t>I квартал</t>
  </si>
  <si>
    <t>На официальном сайте организации</t>
  </si>
  <si>
    <t>тыс.куб.м/сутки</t>
  </si>
  <si>
    <t>метод экономически обоснованных расходов (затрат)</t>
  </si>
  <si>
    <t>Передача+Сбыт</t>
  </si>
  <si>
    <t>первичное раскрытие информации</t>
  </si>
  <si>
    <t>без дифференциации</t>
  </si>
  <si>
    <t>организации-перепродавцы</t>
  </si>
  <si>
    <t>надземная (наземная)</t>
  </si>
  <si>
    <t>50 - 250 мм</t>
  </si>
  <si>
    <t>не превышает 0,1 Гкал/ч</t>
  </si>
  <si>
    <t>Тарифы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 в соответствии с установленными федеральным органом исполнительной власти в области государственного регулирования тарифов в сфере теплоснабжения предельными (минимальным и (или) максимальным) уровнями указанных тарифов</t>
  </si>
  <si>
    <t>Форма 4.2.1 Информация о величинах тарифов на тепловую энергию, поддержанию резервной тепловой мощности</t>
  </si>
  <si>
    <t>Тариф на теплоноситель, поставляемый потребителям</t>
  </si>
  <si>
    <t>Плата за услуги по поддержанию резервной тепловой мощности при отсутствии потребления тепловой энергии для отдельных категорий (групп) социально значимых потребителей</t>
  </si>
  <si>
    <t>Вода</t>
  </si>
  <si>
    <t>Газ природный по регулируемой цене</t>
  </si>
  <si>
    <t>Конкурс</t>
  </si>
  <si>
    <t>объемы потребления воды абонентами</t>
  </si>
  <si>
    <t>40 мм и менее</t>
  </si>
  <si>
    <t>00</t>
  </si>
  <si>
    <t>газ природный по регулируемой цене</t>
  </si>
  <si>
    <t>тыс м3</t>
  </si>
  <si>
    <t>Январь</t>
  </si>
  <si>
    <t>Амурская область</t>
  </si>
  <si>
    <t>февраль</t>
  </si>
  <si>
    <t>II квартал</t>
  </si>
  <si>
    <t>На сайте регулирующего органа</t>
  </si>
  <si>
    <t>УСН</t>
  </si>
  <si>
    <t>Передача</t>
  </si>
  <si>
    <t>пар</t>
  </si>
  <si>
    <t>подземная (канальная)</t>
  </si>
  <si>
    <t>251 - 400 мм</t>
  </si>
  <si>
    <t>более 0,1 Гкал/ч и не превышает 1,5 Гкал/ч</t>
  </si>
  <si>
    <t>Тарифы на тепловую энергию (мощность), поставляемую другим теплоснабжающим организациям теплоснабжающими организациями</t>
  </si>
  <si>
    <t>Тариф на теплоноситель, поставляемый теплоснабжающей организацией, владеющей источником (источниками) тепловой энергии, на котором производится теплоноситель</t>
  </si>
  <si>
    <t>Плата за услуги по поддержанию резервной тепловой мощности, оказываемые регулируемой организацией, мощность источников тепловой энергии которой используется для поддержания резервной мощности в соответствии со схемой теплоснабжения</t>
  </si>
  <si>
    <t>Отборный пар, 1,2-2,5 кг/см2</t>
  </si>
  <si>
    <t>Пар</t>
  </si>
  <si>
    <t>Газ природный по нерегулируемой цене</t>
  </si>
  <si>
    <t>Аукцион</t>
  </si>
  <si>
    <t>Тарифы на тепловую энергию (мощность), поставляемую потребителям теплоснабжающими организациями в соответствии с установленными предельными (минимальными и (или) максимальными) уровнями указанных тарифов</t>
  </si>
  <si>
    <t>соответствие качества питьевой воды и горячей воды требованиям, установленным санитарными нормами и правилами</t>
  </si>
  <si>
    <t>от 41 мм до 70 мм включительно</t>
  </si>
  <si>
    <t>01</t>
  </si>
  <si>
    <t>Единая теплоснабжающая организация в ценовой зоне теплоснабжения</t>
  </si>
  <si>
    <t>газ природный по нерегулируемой цене</t>
  </si>
  <si>
    <t>Февраль</t>
  </si>
  <si>
    <t>HEAT_FIN_SRC_LIST</t>
  </si>
  <si>
    <t>VSNA_FIN_SRC_LIST</t>
  </si>
  <si>
    <t>VOTV_FIN_SRC_LIST</t>
  </si>
  <si>
    <t>OTKO_FIN_SRC_LIST</t>
  </si>
  <si>
    <t>HEAT_PT_TARIFF_NAME_LIST</t>
  </si>
  <si>
    <t>COLDVSNA_PT_TARIFF_NAME_LIST</t>
  </si>
  <si>
    <t>HOTVSNA_PT_TARIFF_NAME_LIST</t>
  </si>
  <si>
    <t>VOTV_PT_TARIFF_NAME_LIST</t>
  </si>
  <si>
    <t>Архангельская область</t>
  </si>
  <si>
    <t>март</t>
  </si>
  <si>
    <t>III квартал</t>
  </si>
  <si>
    <t>ЕСХН</t>
  </si>
  <si>
    <t>куб.м/ч</t>
  </si>
  <si>
    <t>метод обеспечения доходности инвестированного капитала</t>
  </si>
  <si>
    <t>производство комбинированная выработка</t>
  </si>
  <si>
    <t>отборный пар, 1.2-2.5 кг/см2</t>
  </si>
  <si>
    <t>к тепловой сети без дополнительного преобразования на тепловых пунктах, эксплуатируемых теплоснабжающей организацией</t>
  </si>
  <si>
    <t>население и приравненные категории</t>
  </si>
  <si>
    <t>подземная (бесканальная)</t>
  </si>
  <si>
    <t>401 - 550 мм</t>
  </si>
  <si>
    <t>превышает 1,5 Гкал/ч при наличии технической возможности подключения</t>
  </si>
  <si>
    <t>Предельный уровнь цены на тепловую энергию (мощность), поставляемую теплоснабжающими организациями потребителям</t>
  </si>
  <si>
    <t>Плата за услуги по поддержанию резервной тепловой мощности, оказываемые регулируемой организацией, мощность тепловых сетей которой используется для поддержания резервной мощности в соответствии со схемой теплоснабжения</t>
  </si>
  <si>
    <t>Отборный пар, 2,5-7 кг/см2</t>
  </si>
  <si>
    <t>Уголь</t>
  </si>
  <si>
    <t>Аукцион в электронной форме</t>
  </si>
  <si>
    <t>иное</t>
  </si>
  <si>
    <t>от 71 мм до 100 мм включительно</t>
  </si>
  <si>
    <t>02</t>
  </si>
  <si>
    <t>Теплоснабжающая организация в ценовой зоне теплоснабжения</t>
  </si>
  <si>
    <t>газ сжиженный</t>
  </si>
  <si>
    <t>кг</t>
  </si>
  <si>
    <t>Март</t>
  </si>
  <si>
    <t>[ Собственные средства ]</t>
  </si>
  <si>
    <t>HEAT_PT_TARIFF_ID</t>
  </si>
  <si>
    <t>HEAT_PT_TARIFF_NAME</t>
  </si>
  <si>
    <t>COLDVSNA_PT_TARIFF_ID</t>
  </si>
  <si>
    <t>COLDVSNA_PT_TARIFF_NAME</t>
  </si>
  <si>
    <t>HOTVSNA_PT_TARIFF_ID</t>
  </si>
  <si>
    <t>HOTVSNA_PT_TARIFF_NAME</t>
  </si>
  <si>
    <t>VOTV_PT_TARIFF_ID</t>
  </si>
  <si>
    <t>VOTV_PT_TARIFF_NAME</t>
  </si>
  <si>
    <t>Астраханская область</t>
  </si>
  <si>
    <t>апрель</t>
  </si>
  <si>
    <t>IV квартал</t>
  </si>
  <si>
    <t>ПСН</t>
  </si>
  <si>
    <t>метод сравнения аналогов</t>
  </si>
  <si>
    <t>производство (некомбинированная выработка)+передача+сбыт</t>
  </si>
  <si>
    <t>отборный пар, 2.5-7 кг/см2</t>
  </si>
  <si>
    <t>551 - 700 мм</t>
  </si>
  <si>
    <t>превышает 1,5 Гкал/ч при отсутствии технической возможности подключения</t>
  </si>
  <si>
    <t>Форма 4.2.2 Информация о величинах тарифов на теплоноситель, передачу тепловой энергии, теплоносителя</t>
  </si>
  <si>
    <t>не известна</t>
  </si>
  <si>
    <t>Отборный пар, 7-13 кг/см2</t>
  </si>
  <si>
    <t>Мазут</t>
  </si>
  <si>
    <t>Запрос котировок</t>
  </si>
  <si>
    <t>от 101 мм до 150 мм включительно</t>
  </si>
  <si>
    <t>03</t>
  </si>
  <si>
    <t>Теплосетевая организация в ценовой зоне теплоснабжения</t>
  </si>
  <si>
    <t>газовый конденсат</t>
  </si>
  <si>
    <t>тонны</t>
  </si>
  <si>
    <t>Апрель</t>
  </si>
  <si>
    <t xml:space="preserve">  Прибыль направляемая на инвестиции</t>
  </si>
  <si>
    <t xml:space="preserve">  Нормативная прибыль</t>
  </si>
  <si>
    <t>Тариф на горячую воду в закрытой системе горячего водоснабжения (горячее водоснабжение)</t>
  </si>
  <si>
    <t>Тариф на подключение (технологическое присоединение) к централизованной системе водоотведения в индивидуальном порядке</t>
  </si>
  <si>
    <t>Белгородская область</t>
  </si>
  <si>
    <t>май</t>
  </si>
  <si>
    <t>НПД</t>
  </si>
  <si>
    <t>Вид тарифа на передачу тепловой энергии /kind_of_tariff_unit/</t>
  </si>
  <si>
    <t>производство (некомбинированная выработка)+передача</t>
  </si>
  <si>
    <t>отборный пар, 7-13 кг/см2</t>
  </si>
  <si>
    <t>701 мм и выше</t>
  </si>
  <si>
    <t>Форма 4.2.3 Информация о величинах тарифов на горячую воду (в открытых системах)</t>
  </si>
  <si>
    <t>Отборный пар, &gt; 13 кг/см2</t>
  </si>
  <si>
    <t>Дизельное топливо</t>
  </si>
  <si>
    <t>Единственный поставщик</t>
  </si>
  <si>
    <t>от 151 мм до 200 мм включительно</t>
  </si>
  <si>
    <t>04</t>
  </si>
  <si>
    <t>гшз</t>
  </si>
  <si>
    <t>Май</t>
  </si>
  <si>
    <t xml:space="preserve">  [ Амортизационные отчисления ]</t>
  </si>
  <si>
    <t xml:space="preserve">  Капитальные вложения (инвестиции), финансируемые за счет нормативной прибыли, учитываемой в необходимой валовой выручке</t>
  </si>
  <si>
    <t xml:space="preserve">  Амортизационные отчисления</t>
  </si>
  <si>
    <t>Тариф на подключение к централизованной системе водоотведения</t>
  </si>
  <si>
    <t>Брянская область</t>
  </si>
  <si>
    <t>июнь</t>
  </si>
  <si>
    <t>налогообложение казённых учреждений</t>
  </si>
  <si>
    <t>руб./Гкал/ч/мес</t>
  </si>
  <si>
    <t>производство (некомбинированная выработка)+сбыт</t>
  </si>
  <si>
    <t>отборный пар, &gt; 13 кг/см2</t>
  </si>
  <si>
    <t>Острый и редуцированный пар</t>
  </si>
  <si>
    <t>Дрова</t>
  </si>
  <si>
    <t>Иное</t>
  </si>
  <si>
    <t>от 201 мм до 250 мм включительно</t>
  </si>
  <si>
    <t>05</t>
  </si>
  <si>
    <t>QRE_METHOD_LIST</t>
  </si>
  <si>
    <t>мазут</t>
  </si>
  <si>
    <t>Июнь</t>
  </si>
  <si>
    <t xml:space="preserve">      Амортизационные отчисления с выделением результатов переоценки основных средств и нематериальных активов</t>
  </si>
  <si>
    <t>[ Привлеченные средства ]</t>
  </si>
  <si>
    <t>Тариф на подключение к централизованной системе горячего водоснабжения</t>
  </si>
  <si>
    <t>Владимирская область</t>
  </si>
  <si>
    <t>июль</t>
  </si>
  <si>
    <t>смешанное налогообложение</t>
  </si>
  <si>
    <t>руб./Гкал</t>
  </si>
  <si>
    <t>производство (некомбинированная выработка)</t>
  </si>
  <si>
    <t>острый и редуцированный пар</t>
  </si>
  <si>
    <t>Электроэнергия</t>
  </si>
  <si>
    <t>от 250  мм и более</t>
  </si>
  <si>
    <t>06</t>
  </si>
  <si>
    <t>по мероприятиям</t>
  </si>
  <si>
    <t>нефть</t>
  </si>
  <si>
    <t>Июль</t>
  </si>
  <si>
    <t xml:space="preserve">      Прочие амортизационные отчисления</t>
  </si>
  <si>
    <t xml:space="preserve">     Амортизационные отчисления за исключением переоценки основных средств и нематериальных активов</t>
  </si>
  <si>
    <t xml:space="preserve">  Кредиты</t>
  </si>
  <si>
    <t>Тариф на подключение (технологическое присоединение) к централизованной системе холодного водоснабжения в индивидуальном порядке</t>
  </si>
  <si>
    <t>Тариф на подключение к централизованной системе горячего водоснабжения (инд)</t>
  </si>
  <si>
    <t>Волгоградская область</t>
  </si>
  <si>
    <t>август</t>
  </si>
  <si>
    <t>НДС общий_x000D_
/kind_of_NDS_tariff/</t>
  </si>
  <si>
    <t>НДС_x000D_
/kind_of_NDS_tariff/</t>
  </si>
  <si>
    <t>горячая вода в системе централизованного теплоснабжения на отопление</t>
  </si>
  <si>
    <t>Прочее</t>
  </si>
  <si>
    <t>Плата за подключение к системе теплоснабжения</t>
  </si>
  <si>
    <t>07</t>
  </si>
  <si>
    <t>по группам мероприятий</t>
  </si>
  <si>
    <t>дизельное топливо</t>
  </si>
  <si>
    <t>Август</t>
  </si>
  <si>
    <t xml:space="preserve">  Прочие собственные средства</t>
  </si>
  <si>
    <t xml:space="preserve">     Амортизационные отчисления в результате переоценки основных средств и нематериальных активов</t>
  </si>
  <si>
    <t xml:space="preserve">  [ Займы ]</t>
  </si>
  <si>
    <t>Вологодская область</t>
  </si>
  <si>
    <t>сентябрь</t>
  </si>
  <si>
    <t>тариф указан с НДС для плательщиков НДС</t>
  </si>
  <si>
    <t>тариф для организаций не являющихся плательщиками НДС</t>
  </si>
  <si>
    <t>Установленная электрическая мощность. Теплоэлектростанции. Ед.измерения  /kind_of_power_te_unit/</t>
  </si>
  <si>
    <t>цель инвестиционной программы /kind_of_purchase_method/</t>
  </si>
  <si>
    <t>горячая вода в системе централизованного теплоснабжения на горячее водоснабжение</t>
  </si>
  <si>
    <t>Плата за подключение к системе теплоснабжения (индивидуальная)</t>
  </si>
  <si>
    <t>Форма 4.2.5 Информация о плате за подключение к системе теплоснабжения в индивидуальном порядке</t>
  </si>
  <si>
    <t>08</t>
  </si>
  <si>
    <t>в целом на инвестиционную программу</t>
  </si>
  <si>
    <t>уголь бурый</t>
  </si>
  <si>
    <t>Сентябрь</t>
  </si>
  <si>
    <t xml:space="preserve">  За счет платы за технологическое присоединение</t>
  </si>
  <si>
    <t xml:space="preserve">     Прочие амортизационные отчисления</t>
  </si>
  <si>
    <t xml:space="preserve">      Займы, предоставленные Фондом ЖКХ за счет средств ФНБ</t>
  </si>
  <si>
    <t>Воронежская область</t>
  </si>
  <si>
    <t>октябрь</t>
  </si>
  <si>
    <t>тариф указан без НДС для плательщиков НДС</t>
  </si>
  <si>
    <t>тариф не утверждался</t>
  </si>
  <si>
    <t>кВт*ч</t>
  </si>
  <si>
    <t>Торги/аукционы</t>
  </si>
  <si>
    <t>прочее</t>
  </si>
  <si>
    <t>Форма 4.2.4 Информация о величинах тарифов на подключение к системе теплоснабжения</t>
  </si>
  <si>
    <t>09</t>
  </si>
  <si>
    <t>по муниципальным образованиям/территориям</t>
  </si>
  <si>
    <t>уголь каменный</t>
  </si>
  <si>
    <t>Октябрь</t>
  </si>
  <si>
    <t xml:space="preserve">  [ Экономия расходов ]</t>
  </si>
  <si>
    <t xml:space="preserve">      Прочие займы</t>
  </si>
  <si>
    <t>г.Байконур</t>
  </si>
  <si>
    <t>ноябрь</t>
  </si>
  <si>
    <t>МВт</t>
  </si>
  <si>
    <t>Прямые договора без торгов</t>
  </si>
  <si>
    <t>Предельный уровнь цены на тепловую энергию (мощность), поставляемую теплоснабжающими организациями потребителям. Индикативы</t>
  </si>
  <si>
    <t>по централизованным системам</t>
  </si>
  <si>
    <t>торф</t>
  </si>
  <si>
    <t>Ноябрь</t>
  </si>
  <si>
    <t xml:space="preserve">      Экономия расходов в результате реализации мероприятий инвестиционной программы</t>
  </si>
  <si>
    <t xml:space="preserve">  Средства, полученные за счет платы за подключение (технологическое присоединение)</t>
  </si>
  <si>
    <t>[ Бюджетное финансирование ]</t>
  </si>
  <si>
    <t>г. Москва</t>
  </si>
  <si>
    <t>декабрь</t>
  </si>
  <si>
    <t>дрова</t>
  </si>
  <si>
    <t>м3</t>
  </si>
  <si>
    <t>Декабрь</t>
  </si>
  <si>
    <t xml:space="preserve">      Экономия расходов, связанная с сокращением потерь в тепловых сетях, сменой видов и (или) марки основного и (или) резервного топлива на источниках тепловой энергии, реализацией энергосервисного договора (контракта) в размере, определенном по решению регулируемой организации, плату за подключение (технологическое присоединение) к системам централизованного теплоснабжения</t>
  </si>
  <si>
    <t xml:space="preserve">  Федеральный бюджет</t>
  </si>
  <si>
    <t>г.Санкт-Петербург</t>
  </si>
  <si>
    <t>Объём приобретаемой тепловой энергии (мощности), используемой для горячего водоснабжения. Ед.измерения  /kind_of_volume_te_unit/</t>
  </si>
  <si>
    <t>Вид деятельности /kind_of_activity/</t>
  </si>
  <si>
    <t>TITLE_IP_DETAILED_METHOD_LIST</t>
  </si>
  <si>
    <t>опил</t>
  </si>
  <si>
    <t xml:space="preserve">      Экономия расходов, достигнутая регулируемой организацией в результате реализации мероприятий инвестиционной программы за счет амортизационных отчислений</t>
  </si>
  <si>
    <t xml:space="preserve">  Бюджет субъекта РФ</t>
  </si>
  <si>
    <t>г.Севастополь</t>
  </si>
  <si>
    <t>TemplateState</t>
  </si>
  <si>
    <t>НДС общий люди_x000D_
/kind_of_NDS_tariff_people/</t>
  </si>
  <si>
    <t>НДС_x000D_
/kind_of_NDS_tariff_people/</t>
  </si>
  <si>
    <t>производство тепловой энергии (мощности)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МВт и более</t>
  </si>
  <si>
    <t>отходы березовые</t>
  </si>
  <si>
    <t xml:space="preserve">      Экономия расходов, достигнутая регулируемой организацией в результате реализации мероприятий инвестиционной программы за счет капитальных вложений в составе нормативной прибыли</t>
  </si>
  <si>
    <t xml:space="preserve">  Бюджет муниципального образования</t>
  </si>
  <si>
    <t>Донецкая Народная Республика</t>
  </si>
  <si>
    <t>START_FILL</t>
  </si>
  <si>
    <t>тариф с НДС организаций-плательщиков НДС</t>
  </si>
  <si>
    <t>тариф организаций не являющихся плательщиками НДС</t>
  </si>
  <si>
    <t>15</t>
  </si>
  <si>
    <t>производство тепловой энергии (мощности)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менее 25 МВт</t>
  </si>
  <si>
    <t>отходы осиновые</t>
  </si>
  <si>
    <t xml:space="preserve">      Экономия расходов, достигнутая регулируемой организацией в результате реализации мероприятий инвестиционной программы за счет прочих собственных средств</t>
  </si>
  <si>
    <t>[ Прочие источники финансирования ]</t>
  </si>
  <si>
    <t>Еврейская автономная область</t>
  </si>
  <si>
    <t>16</t>
  </si>
  <si>
    <t>производство тепловой энергии (мощности) не в режиме комбинированной выработки электрической и тепловой энергии источниками тепловой энергии</t>
  </si>
  <si>
    <t>по мероприятиям и группам мероприятий</t>
  </si>
  <si>
    <t>печное топливо</t>
  </si>
  <si>
    <t xml:space="preserve">      Экономия расходов, достигнутая регулируемой организацией в результате реализации мероприятий инвестиционной программы за счет за счет займов и кредитов</t>
  </si>
  <si>
    <t xml:space="preserve">  Лизинг</t>
  </si>
  <si>
    <t>COLDVSNA_PT_VED_NAME_LIST</t>
  </si>
  <si>
    <t>HOTVSNA_PT_VED_NAME_LIST</t>
  </si>
  <si>
    <t>VOTV_PT_VED_NAME_LIST</t>
  </si>
  <si>
    <t>TKO_PT_VED_NAME_LIST</t>
  </si>
  <si>
    <t>Забайкальский край</t>
  </si>
  <si>
    <t>Тарифы на тепло для REQUEST.HEAT_x000D_
/kind_of_tariff_RHEAT/</t>
  </si>
  <si>
    <t>17</t>
  </si>
  <si>
    <t>производство теплоносителя</t>
  </si>
  <si>
    <t>пилеты</t>
  </si>
  <si>
    <t xml:space="preserve">      Экономия средств, достигнутая регулируемой организацией в результате снижения расходов</t>
  </si>
  <si>
    <t xml:space="preserve">  Прочие</t>
  </si>
  <si>
    <t>COLDVSNA_PT_VED_ID</t>
  </si>
  <si>
    <t>COLDVSNA_PT_VED_NAME</t>
  </si>
  <si>
    <t>HOTVSNA_PT_VED_ID</t>
  </si>
  <si>
    <t>HOTVSNA_PT_VED_NAME</t>
  </si>
  <si>
    <t>VOTV_PT_VED_ID</t>
  </si>
  <si>
    <t>VOTV_PT_VED_NAME</t>
  </si>
  <si>
    <t>TKO_PT_VED_ID</t>
  </si>
  <si>
    <t>TKO_PT_VED_NAME</t>
  </si>
  <si>
    <t>Запорожская область</t>
  </si>
  <si>
    <t>18</t>
  </si>
  <si>
    <t>передача тепловой энергии и теплоносителя</t>
  </si>
  <si>
    <t>IP_CLAIM_LIST</t>
  </si>
  <si>
    <t>смола</t>
  </si>
  <si>
    <t xml:space="preserve">  Прочие привлеченные средства</t>
  </si>
  <si>
    <t xml:space="preserve">      Экономия расходов в результате реализации энергосервисного договора (контракта) в результате снижения расходов, в размере, определенном по решению регулируемой организации, плату за подключение к централизованным системам водоснабжения</t>
  </si>
  <si>
    <t>Производство тепловой энергии. Некомбинированная выработка</t>
  </si>
  <si>
    <t>Холодное водоснабжение. Питьевая вода</t>
  </si>
  <si>
    <t>Горячее водоснабжение</t>
  </si>
  <si>
    <t>Водоотведение</t>
  </si>
  <si>
    <t>Захоронение твердых коммунальных отходов</t>
  </si>
  <si>
    <t>Ивановская область</t>
  </si>
  <si>
    <t>19</t>
  </si>
  <si>
    <t>сбыт тепловой энергии и теплоносителя</t>
  </si>
  <si>
    <t>уменьшение удельных затрат (повышение КПД)</t>
  </si>
  <si>
    <t>щепа</t>
  </si>
  <si>
    <t>Производство тепловой энергии. Комбинированная выработка с уст. мощностью производства электрической энергии менее 25 МВт</t>
  </si>
  <si>
    <t>Холодное водоснабжение. Техническая вода</t>
  </si>
  <si>
    <t>Транспортировка</t>
  </si>
  <si>
    <t>Обезвреживание твердых коммунальных отходов</t>
  </si>
  <si>
    <t>Иркутская область</t>
  </si>
  <si>
    <t>20</t>
  </si>
  <si>
    <t>подключение к системе теплоснабжения</t>
  </si>
  <si>
    <t>автоматизация (с уменьшением штата)</t>
  </si>
  <si>
    <t>горючий сланец</t>
  </si>
  <si>
    <t>Производство тепловой энергии. Комбинированная выработка с уст. мощностью производства электрической энергии 25 МВт и более</t>
  </si>
  <si>
    <t>Холодное водоснабжение. Подвозная вода</t>
  </si>
  <si>
    <t>Подключение (технологическое присоединение) к централизованной системе горячего водоснабжения</t>
  </si>
  <si>
    <t>Подключение (технологическое присоединение) к централизованной системе водоотведения</t>
  </si>
  <si>
    <t>Обработка твердых коммунальных отходов</t>
  </si>
  <si>
    <t>Кабардино-Балкарская республика</t>
  </si>
  <si>
    <t>поддержание резервной тепловой мощности при отсутствии потребления тепловой энергии</t>
  </si>
  <si>
    <t>уменьшение издержек на производство</t>
  </si>
  <si>
    <t>керосин</t>
  </si>
  <si>
    <t>Производство. Теплоноситель</t>
  </si>
  <si>
    <t>Транспортировка. Питьевая вода</t>
  </si>
  <si>
    <t>Калининградская область</t>
  </si>
  <si>
    <t>21</t>
  </si>
  <si>
    <t>снижение аварийности</t>
  </si>
  <si>
    <t>кислородно-водородная смесь</t>
  </si>
  <si>
    <t>Передача. Тепловая энергия</t>
  </si>
  <si>
    <t>Транспортировка. Техническая вода</t>
  </si>
  <si>
    <t>Энергетическая утилизация</t>
  </si>
  <si>
    <t>Калужская область</t>
  </si>
  <si>
    <t>22</t>
  </si>
  <si>
    <t>улучшение качества</t>
  </si>
  <si>
    <t>электроэнергия (НН)</t>
  </si>
  <si>
    <t>тыс кВт.ч</t>
  </si>
  <si>
    <t>Передача. Теплоноситель</t>
  </si>
  <si>
    <t>Транспортировка. Подвозная вода</t>
  </si>
  <si>
    <t>Транспортирование твердых коммунальных отходов</t>
  </si>
  <si>
    <t>Камчатский край</t>
  </si>
  <si>
    <t>23</t>
  </si>
  <si>
    <t>повышение надёжности и энергетической эффективности</t>
  </si>
  <si>
    <t>электроэнергия (СН1)</t>
  </si>
  <si>
    <t>Сбыт. Тепловая энергия</t>
  </si>
  <si>
    <t>Подключение (технологическое присоединение) к централизованной системе водоснабжения</t>
  </si>
  <si>
    <t>Карачаево-Черкесская республика</t>
  </si>
  <si>
    <t>CROSSES</t>
  </si>
  <si>
    <t>24</t>
  </si>
  <si>
    <t>электроэнергия (СН2)</t>
  </si>
  <si>
    <t>Сбыт. Теплоноситель</t>
  </si>
  <si>
    <t>Кемеровская область</t>
  </si>
  <si>
    <t>25</t>
  </si>
  <si>
    <t>электроэнергия (ВН)</t>
  </si>
  <si>
    <t>Подключение (технологическое присоединение) к системе теплоснабжения</t>
  </si>
  <si>
    <t>Кировская область</t>
  </si>
  <si>
    <t>Текущая дата</t>
  </si>
  <si>
    <t>26</t>
  </si>
  <si>
    <t>PT_GROUP_CONSUMER_LIST</t>
  </si>
  <si>
    <t>мощность</t>
  </si>
  <si>
    <t>тыс кВт</t>
  </si>
  <si>
    <t>Поддержание резервной тепловой мощности при отсутствии потребления тепловой энергии</t>
  </si>
  <si>
    <t>Костромская область</t>
  </si>
  <si>
    <t>Организация</t>
  </si>
  <si>
    <t>25.07.2023 22:51:32</t>
  </si>
  <si>
    <t>27</t>
  </si>
  <si>
    <t>Краснодарский край</t>
  </si>
  <si>
    <t>28</t>
  </si>
  <si>
    <t xml:space="preserve">  Плата концедента на строительство, модернизацию и (или) реконструкцию объекта концессионного соглашения в размере, предусмотренном заключенным концессионным соглашением</t>
  </si>
  <si>
    <t>Красноярский край</t>
  </si>
  <si>
    <t>29</t>
  </si>
  <si>
    <t xml:space="preserve">  Иные бюджетные средства</t>
  </si>
  <si>
    <t>Виды деятельности</t>
  </si>
  <si>
    <t>https://appsrv.regportal-tariff.ru/procwsxls/</t>
  </si>
  <si>
    <t>30</t>
  </si>
  <si>
    <t>Курская область</t>
  </si>
  <si>
    <t>31</t>
  </si>
  <si>
    <t>Ленинградская область</t>
  </si>
  <si>
    <t>32</t>
  </si>
  <si>
    <t>Липецкая область</t>
  </si>
  <si>
    <t>33</t>
  </si>
  <si>
    <t>PT_SCHEME_LIST</t>
  </si>
  <si>
    <t xml:space="preserve">  Доход от взимания платы за нарушение нормативов по объему и (или) составу сточных вод</t>
  </si>
  <si>
    <t>Луганская Народная Республика</t>
  </si>
  <si>
    <t>TEMPLATE_SPHERE</t>
  </si>
  <si>
    <t>34</t>
  </si>
  <si>
    <t xml:space="preserve">  Доход от взимания платы за негативное воздействие на работу централизованной системы водоотведения</t>
  </si>
  <si>
    <t>Магаданская область</t>
  </si>
  <si>
    <t>теплоснабжения</t>
  </si>
  <si>
    <t>теплоснабжение</t>
  </si>
  <si>
    <t>35</t>
  </si>
  <si>
    <t>Московская область</t>
  </si>
  <si>
    <t>холодного водоснабжения</t>
  </si>
  <si>
    <t>холодное водоснабжение</t>
  </si>
  <si>
    <t>36</t>
  </si>
  <si>
    <t>HEAT_FIN_SRC_VLD_LIST</t>
  </si>
  <si>
    <t>VSNA_FIN_SRC_VLD_LIST</t>
  </si>
  <si>
    <t>VOTV_FIN_SRC_VLD_LIST</t>
  </si>
  <si>
    <t>OTKO_FIN_SRC_VLD_LIST</t>
  </si>
  <si>
    <t>Мурманская область</t>
  </si>
  <si>
    <t>водоотведения</t>
  </si>
  <si>
    <t>водоотведение</t>
  </si>
  <si>
    <t>37</t>
  </si>
  <si>
    <t>Прибыль направляемая на инвестиции</t>
  </si>
  <si>
    <t>Нормативная прибыль</t>
  </si>
  <si>
    <t>Ненецкий автономный округ</t>
  </si>
  <si>
    <t>горячего водоснабжения</t>
  </si>
  <si>
    <t>горячее водоснабжение</t>
  </si>
  <si>
    <t>38</t>
  </si>
  <si>
    <t>Амортизационные отчисления с выделением результатов переоценки основных средств и нематериальных активов</t>
  </si>
  <si>
    <t>Нижегородская область</t>
  </si>
  <si>
    <t>обращения с твердыми коммунальными отходами</t>
  </si>
  <si>
    <t>TKO</t>
  </si>
  <si>
    <t>39</t>
  </si>
  <si>
    <t>PT_TN_LIST</t>
  </si>
  <si>
    <t>Прочие амортизационные отчисления</t>
  </si>
  <si>
    <t>Новгородская область</t>
  </si>
  <si>
    <t>40</t>
  </si>
  <si>
    <t>Займы, предоставленные Фондом ЖКХ за счет средств ФНБ</t>
  </si>
  <si>
    <t>Новосибирская область</t>
  </si>
  <si>
    <t>41</t>
  </si>
  <si>
    <t>За счет платы за технологическое присоединение</t>
  </si>
  <si>
    <t>Прочие займы</t>
  </si>
  <si>
    <t>Омская область</t>
  </si>
  <si>
    <t>PeriodIsEmpty</t>
  </si>
  <si>
    <t>NameTemplatesInTitle</t>
  </si>
  <si>
    <t>NameTemplatesInListMO</t>
  </si>
  <si>
    <t>42</t>
  </si>
  <si>
    <t>Экономия расходов в результате реализации мероприятий инвестиционной программы</t>
  </si>
  <si>
    <t>Федеральный бюджет</t>
  </si>
  <si>
    <t>Оренбургская область</t>
  </si>
  <si>
    <t>TEMPLATE_GROUP</t>
  </si>
  <si>
    <t>R</t>
  </si>
  <si>
    <t>CodeTemplate</t>
  </si>
  <si>
    <t>StartDate</t>
  </si>
  <si>
    <t>EndDate</t>
  </si>
  <si>
    <t>43</t>
  </si>
  <si>
    <t>Экономия расходов, связанная с сокращением потерь в тепловых сетях, сменой видов и (или) марки основного и (или) резервного топлива на источниках тепловой энергии, реализацией энергосервисного договора (контракта) в размере, определенном по решению регулируемой организации, плату за подключение (технологическое присоединение) к системам централизованного теплоснабжения</t>
  </si>
  <si>
    <t>Бюджет субъекта РФ</t>
  </si>
  <si>
    <t>Орловская область</t>
  </si>
  <si>
    <t>O</t>
  </si>
  <si>
    <t>44</t>
  </si>
  <si>
    <t>Бюджет муниципального образования</t>
  </si>
  <si>
    <t>Пензенская область</t>
  </si>
  <si>
    <t>Q</t>
  </si>
  <si>
    <t>45</t>
  </si>
  <si>
    <t>Лизинг</t>
  </si>
  <si>
    <t>Пермский край</t>
  </si>
  <si>
    <t>BALANCE</t>
  </si>
  <si>
    <t>B</t>
  </si>
  <si>
    <t>Информация о показателях финансово-хозяйственной деятельности, об основных потребительских характеристиках регулируемых товаров и услуг, об инвестиционных программах</t>
  </si>
  <si>
    <t>46</t>
  </si>
  <si>
    <t>Прочие</t>
  </si>
  <si>
    <t>Приморский край</t>
  </si>
  <si>
    <t>TERMS</t>
  </si>
  <si>
    <t>T</t>
  </si>
  <si>
    <t>47</t>
  </si>
  <si>
    <t>Псковская область</t>
  </si>
  <si>
    <t>INVEST</t>
  </si>
  <si>
    <t>48</t>
  </si>
  <si>
    <t>Республика Адыгея</t>
  </si>
  <si>
    <t>REQUEST</t>
  </si>
  <si>
    <t>49</t>
  </si>
  <si>
    <t>Экономия расходов в результате реализации энергосервисного договора (контракта) в результате снижения расходов, в размере, определенном по решению регулируемой организации, плату за подключение к централизованным системам водоснабжения</t>
  </si>
  <si>
    <t>Республика Алтай</t>
  </si>
  <si>
    <t>PRICE</t>
  </si>
  <si>
    <t>P</t>
  </si>
  <si>
    <t>50</t>
  </si>
  <si>
    <t>Республика Башкортостан</t>
  </si>
  <si>
    <t>ROIV</t>
  </si>
  <si>
    <t>Показатели, подлежащие раскрытию органами регулирования</t>
  </si>
  <si>
    <t>51</t>
  </si>
  <si>
    <t>Республика Бурятия</t>
  </si>
  <si>
    <t>52</t>
  </si>
  <si>
    <t>PT_NETS_LIST</t>
  </si>
  <si>
    <t>Республика Дагестан</t>
  </si>
  <si>
    <t>53</t>
  </si>
  <si>
    <t>Республика Ингушетия</t>
  </si>
  <si>
    <t>TERRITORY_ID</t>
  </si>
  <si>
    <t>начинать только с 2, остальное по умолчанию</t>
  </si>
  <si>
    <t>54</t>
  </si>
  <si>
    <t>Республика Калмыкия</t>
  </si>
  <si>
    <t>DIFFERENTIATION_ID</t>
  </si>
  <si>
    <t>55</t>
  </si>
  <si>
    <t>Республика Карелия</t>
  </si>
  <si>
    <t>IP_ID</t>
  </si>
  <si>
    <t>56</t>
  </si>
  <si>
    <t>Республика Коми</t>
  </si>
  <si>
    <t>начинать только с 30, остальное по умолчанию</t>
  </si>
  <si>
    <t>57</t>
  </si>
  <si>
    <t>PT_DIAMETERS_LIST</t>
  </si>
  <si>
    <t>Республика Крым</t>
  </si>
  <si>
    <t>VDET_ID</t>
  </si>
  <si>
    <t>58</t>
  </si>
  <si>
    <t>Республика Марий Эл</t>
  </si>
  <si>
    <t>NTAR_ID</t>
  </si>
  <si>
    <t>301</t>
  </si>
  <si>
    <t>59</t>
  </si>
  <si>
    <t>Республика Мордовия</t>
  </si>
  <si>
    <t>Республика Саха (Якутия)</t>
  </si>
  <si>
    <t>CS_ID</t>
  </si>
  <si>
    <t>Республика Северная Осетия-Алания</t>
  </si>
  <si>
    <t>IST_TE_ID</t>
  </si>
  <si>
    <t>Республика Татарстан</t>
  </si>
  <si>
    <t>Республика Тыва</t>
  </si>
  <si>
    <t>PT_LOAD_LIST</t>
  </si>
  <si>
    <t>Республика Хакасия</t>
  </si>
  <si>
    <t>Ростовская область</t>
  </si>
  <si>
    <t>HEAT_IP_EVENT_GROUP_LIST</t>
  </si>
  <si>
    <t>VSNA_IP_EVENT_GROUP_LIST</t>
  </si>
  <si>
    <t>VOTV_IP_EVENT_GROUP_LIST</t>
  </si>
  <si>
    <t>OTKO_IP_EVENT_GROUP_LIST</t>
  </si>
  <si>
    <t>Рязанская область</t>
  </si>
  <si>
    <t>Строительство, реконструкция или модернизация объектов теплоснабжения в целях подключения потребителей с указанием объектов теплоснабжения, строительство которых финансируется за счет платы за подключение</t>
  </si>
  <si>
    <t>Строительство, реконструкция или модернизация объектов водоснабжения в целях подключения потребителей с указанием объектов водоснабжения, строительство которых финансируется за счет платы за подключение</t>
  </si>
  <si>
    <t>Строительство, реконструкция или модернизация объектов водоотведения и очистки сточных вод в целях подключения потребителей с указанием объектов водоотведения и очистки сточных вод, строительство которых финансируется за счет платы за подключение</t>
  </si>
  <si>
    <t>Мероприятия инвестиционной программы в части накопления твердых коммунальных отходов</t>
  </si>
  <si>
    <t>Самарская область</t>
  </si>
  <si>
    <t>Строительство новых объектов теплоснабжения, не связанных с подключением (технологическим присоединением) новых потребителей, в том числе строительство новых тепловых сетей</t>
  </si>
  <si>
    <t>Строительство новых объектов водоснабжения, не связанных с подключением (технологическим присоединением) новых потребителей, в том числе строительство новых сетей водоснабжения</t>
  </si>
  <si>
    <t>Строительство новых объектов водоотведения и очистки сточных вод, не связанных с подключением (технологическим присоединением) новых потребителей, в том числе строительство новых сетей водоотведения и очистки сточных вод</t>
  </si>
  <si>
    <t>Мероприятия инвестиционной программы в части обработки твердых коммунальных отходов</t>
  </si>
  <si>
    <t>Саратовская область</t>
  </si>
  <si>
    <t>Реконструкция или модернизация существующих объектов теплоснабжения в целях снижения уровня износа существующих объектов теплоснабжения</t>
  </si>
  <si>
    <t>Реконструкция или модернизация существующих объектов водоснабжения в целях снижения уровня износа существующих объектов водоснабжения</t>
  </si>
  <si>
    <t>Реконструкция или модернизация существующих объектов водоотведения и очистки сточных вод в целях снижения уровня износа существующих объектов водоотведения и очистки сточных вод</t>
  </si>
  <si>
    <t>Мероприятия инвестиционной программы в части утилизации твердых коммунальных отходов</t>
  </si>
  <si>
    <t>Сахалинская область</t>
  </si>
  <si>
    <t>Мероприятия, направленные на повышение экологической эффективности</t>
  </si>
  <si>
    <t>Мероприятия инвестиционной программы в части обезвреживания твердых коммунальных отходов</t>
  </si>
  <si>
    <t>Свердловская область</t>
  </si>
  <si>
    <t>Вывод из эксплуатации, консервации и демонтаж объектов теплоснабжения</t>
  </si>
  <si>
    <t>Вывод из эксплуатации, консервация и демонтаж объектов водоснабжения</t>
  </si>
  <si>
    <t>Вывод из эксплуатации, консервация и демонтаж объектов водоотведения и очистки сточных вод</t>
  </si>
  <si>
    <t>Мероприятия инвестиционной программы в части хранения твердых коммунальных отходов</t>
  </si>
  <si>
    <t>Смоленская область</t>
  </si>
  <si>
    <t>Мероприятия, направленные на повышение энергоэффективности в сфере теплоснабжения</t>
  </si>
  <si>
    <t>Мероприятия, направленные на повышение энергоэффективности в сфере водоснабжения</t>
  </si>
  <si>
    <t>Мероприятия, направленные на повышение энергоэффективности в сфере водоотведения и очистки сточных вод</t>
  </si>
  <si>
    <t>Мероприятия инвестиционной программы в части захоронения твердых коммунальных отходов</t>
  </si>
  <si>
    <t>Ставропольский край</t>
  </si>
  <si>
    <t>PT_DIAMETERS_2_LIST</t>
  </si>
  <si>
    <t>Мероприятия по подготовке проектной документации</t>
  </si>
  <si>
    <t>Тамбовская область</t>
  </si>
  <si>
    <t>Мероприятия, предусматривающие капитальные вложения в объекты основных средств и нематериальные активы регулируемой организации, обусловленные необходимостью соблюдения регулируемыми организациями обязательных требований, установленных законодательством Российской Федерации и связанных с осуществлением деятельности в сфере теплоснабжения, включая мероприятия по обеспечению безопасности и антитеррористической защищенности объектов топливно-энергетического комплекса, безопасности критической информационной инфраструктуры</t>
  </si>
  <si>
    <t>Мероприятия, предусматривающие капитальные вложения в объекты основных средств и нематериальные активы регулируемой организации, обусловленные необходимостью соблюдения регулируемыми организациями обязательных требований, установленных законодательством Российской Федерации и связанных с обеспечением деятельности в сфере горячего водоснабжения, холодного водоснабжения с использованием централизованных систем водоснабжения</t>
  </si>
  <si>
    <t xml:space="preserve">Мероприятия, предусматривающие капитальные вложения в объекты основных средств и нематериальные активы регулируемой организации, обусловленные необходимостью соблюдения регулируемыми организациями обязательных требований, установленных законодательством Российской Федерации и связанных с обеспечением деятельности в сфере водоотведения с использованием централизованных систем водоотведения_x000D_
</t>
  </si>
  <si>
    <t>Тверская область</t>
  </si>
  <si>
    <t>Томская область</t>
  </si>
  <si>
    <t>Тульская область</t>
  </si>
  <si>
    <t>HEAT_IP_EVENT_SUBGROUP_1_LIST</t>
  </si>
  <si>
    <t>VSNA_IP_EVENT_SUBGROUP_1_LIST</t>
  </si>
  <si>
    <t>VOTV_IP_EVENT_SUBGROUP_1_LIST</t>
  </si>
  <si>
    <t>Тюменская область</t>
  </si>
  <si>
    <t>строительство новых тепловых сетей в целях подключения потребителей</t>
  </si>
  <si>
    <t>строительство новых сетей водоснабжения в целях подключения потребителей</t>
  </si>
  <si>
    <t>строительство новых сетей водоотведения и очистки сточных вод в целях подключения потребителей</t>
  </si>
  <si>
    <t>Удмуртская республика</t>
  </si>
  <si>
    <t>строительство иных объектов теплоснабжения за исключением тепловых сетей в целях подключения потребителей</t>
  </si>
  <si>
    <t>строительство иных объектов водоснабжения, за исключением сетей водоснабжения в целях подключения потребителей</t>
  </si>
  <si>
    <t>строительство иных объектов водоотведения и очистки сточных вод, за исключением сетей водоотведения и очистки сточных вод в целях подключения потребителей</t>
  </si>
  <si>
    <t>Ульяновская область</t>
  </si>
  <si>
    <t>увеличение пропускной способности существующих тепловых сетей в целях подключения потребителей</t>
  </si>
  <si>
    <t>увеличение пропускной способности существующих сетей водоснабжения в целях подключения потребителей</t>
  </si>
  <si>
    <t>увеличение пропускной способности существующих сетей водоотведения и очистки сточных вод в целях подключения потребителей</t>
  </si>
  <si>
    <t>Хабаровский край</t>
  </si>
  <si>
    <t>увеличение мощности и производительности существующих объектов теплоснабжения за исключением тепловых сетей в целях подключения потребителей</t>
  </si>
  <si>
    <t>увеличение мощности и производительности существующих объектов водоснабжения, за исключением сетей водоснабжения в целях подключения потребителей</t>
  </si>
  <si>
    <t>увеличение мощности и производительности существующих объектов водоотведения и очистки сточных вод за исключением сетей водоотведения и очистки сточных вод, в целях подключения потребителей</t>
  </si>
  <si>
    <t>Ханты-Мансийский автономный округ</t>
  </si>
  <si>
    <t>TYPE_TKO_LIST</t>
  </si>
  <si>
    <t>Херсонская область</t>
  </si>
  <si>
    <t>несортированные</t>
  </si>
  <si>
    <t>Челябинская область</t>
  </si>
  <si>
    <t>сортированные</t>
  </si>
  <si>
    <t>HEAT_IP_EVENT_SUBGROUP_3_LIST</t>
  </si>
  <si>
    <t>VSNA_IP_EVENT_SUBGROUP_3_LIST</t>
  </si>
  <si>
    <t>VOTV_IP_EVENT_SUBGROUP_3_LIST</t>
  </si>
  <si>
    <t>Чеченская республика</t>
  </si>
  <si>
    <t>крупногабаритные</t>
  </si>
  <si>
    <t>реконструкция или модернизация существующих тепловых сетей</t>
  </si>
  <si>
    <t>реконструкция или модернизация существующих сетей водоснабжения</t>
  </si>
  <si>
    <t>реконструкция или модернизация существующих сетей водоотведения и очистки сточных вод</t>
  </si>
  <si>
    <t>Чувашская республика</t>
  </si>
  <si>
    <t>реконструкция или модернизация существующих объектов теплоснабжения, за исключением тепловых сетей</t>
  </si>
  <si>
    <t>реконструкция или модернизация существующих объектов водоснабжения, за исключением сетей водоснабжения</t>
  </si>
  <si>
    <t>реконструкция или модернизация существующих объектов водоотведения и очистки сточных вод, за исключением сетей водоотведения и очистки сточных вод</t>
  </si>
  <si>
    <t>Чукотский автономный округ</t>
  </si>
  <si>
    <t>CLASS_TKO_LIST</t>
  </si>
  <si>
    <t>Ямало-Ненецкий автономный округ</t>
  </si>
  <si>
    <t>Ярославская область</t>
  </si>
  <si>
    <t>HEAT_IP_EVENT_SUBGROUP_5_LIST</t>
  </si>
  <si>
    <t>VSNA_IP_EVENT_SUBGROUP_5_LIST</t>
  </si>
  <si>
    <t>VOTV_IP_EVENT_SUBGROUP_5_LIST</t>
  </si>
  <si>
    <t>III</t>
  </si>
  <si>
    <t>вывод из эксплуатации, консервация и демонтаж тепловых сетей</t>
  </si>
  <si>
    <t>вывод из эксплуатации, консервация и демонтаж сетей водоснабжения</t>
  </si>
  <si>
    <t>вывод из эксплуатации, консервация и демонтаж сетей водоотведения и очистки сточных вод</t>
  </si>
  <si>
    <t>IV</t>
  </si>
  <si>
    <t>вывод из эксплуатации, консервация и демонтаж иных объектов теплоснабжения, за исключением тепловых сетей</t>
  </si>
  <si>
    <t>вывод из эксплуатации, консервация и демонтаж иных объектов водоснабжения, за исключением сетей водоснабжения</t>
  </si>
  <si>
    <t>вывод из эксплуатации, консервация и демонтаж иных объектов водоотведения и очистки сточных вод, за исключением сетей водоотведения и очистки сточных вод</t>
  </si>
  <si>
    <t>V</t>
  </si>
  <si>
    <t>ROIV_INFO_LIST_HEAT</t>
  </si>
  <si>
    <t>HEAT_IP_EVENT_CI_STAGE_LIST</t>
  </si>
  <si>
    <t>VSNA_IP_EVENT_CI_STAGE_LIST</t>
  </si>
  <si>
    <t>VOTV_IP_EVENT_CI_STAGE_LIST</t>
  </si>
  <si>
    <t>OTKO_IP_EVENT_CI_STAGE_LIST</t>
  </si>
  <si>
    <t>информация об органе регулирования и перечень организаций</t>
  </si>
  <si>
    <t>в течение 30 дней со дня изменения такой информации</t>
  </si>
  <si>
    <t>производство тепловой энергии</t>
  </si>
  <si>
    <t>на забор и подъём воды</t>
  </si>
  <si>
    <t>на транспортировку сточных вод</t>
  </si>
  <si>
    <t>сбор</t>
  </si>
  <si>
    <t>доклад о результатах правоприменительной практики</t>
  </si>
  <si>
    <t>не позднее 3 дней со дня утверждения доклада</t>
  </si>
  <si>
    <t>передача теплоэнергии по региональным тепловым сетям</t>
  </si>
  <si>
    <t>на водоподготовку</t>
  </si>
  <si>
    <t>очистка сточных вод</t>
  </si>
  <si>
    <t>накопление</t>
  </si>
  <si>
    <t>дата, время и место проведения заседания об установлении тарифов</t>
  </si>
  <si>
    <t>прочие объекты и мероприятия, относимые к регулируемому виду деятельности</t>
  </si>
  <si>
    <t>на транспортировку воды</t>
  </si>
  <si>
    <t>обращение с осадком сточных вод</t>
  </si>
  <si>
    <t>транспортирование</t>
  </si>
  <si>
    <t>информация о принятых решениях об установлении тарифов</t>
  </si>
  <si>
    <t>обработка</t>
  </si>
  <si>
    <t>информация о принятых решениях об утверждении предельного уровня цены на тепловую энергию (мощность)</t>
  </si>
  <si>
    <t>в течение 10 дней со дня принятия соответствующего решения</t>
  </si>
  <si>
    <t>утилизация</t>
  </si>
  <si>
    <t>протокол заседания правления</t>
  </si>
  <si>
    <t>обезвреживание</t>
  </si>
  <si>
    <t>информация о привлечении к ответственности</t>
  </si>
  <si>
    <t>до 30 апреля года, следующего за отчётным годом</t>
  </si>
  <si>
    <t>размещение отходов</t>
  </si>
  <si>
    <t>энергетическая утилизация</t>
  </si>
  <si>
    <t>UNIT_CONNECT_LIST</t>
  </si>
  <si>
    <t>тыс.руб./Гкал/ч</t>
  </si>
  <si>
    <t>тыс.руб.</t>
  </si>
  <si>
    <t>WARM_IP_EVENT_TYPE_LIST</t>
  </si>
  <si>
    <t>VSNA_IP_EVENT_TYPE_LIST</t>
  </si>
  <si>
    <t>VOTV_IP_EVENT_TYPE_LIST</t>
  </si>
  <si>
    <t>OTKO_IP_EVENT_TYPE_LIST</t>
  </si>
  <si>
    <t>Производство тепловой энергии</t>
  </si>
  <si>
    <t>Водоснабжение</t>
  </si>
  <si>
    <t>Обращение с твердыми коммунальными отходами</t>
  </si>
  <si>
    <t>Прочие объекты и мероприятия, относимые к регулируемому виду деятельности</t>
  </si>
  <si>
    <t>ROIV_INFO_LIST_NO_HEAT</t>
  </si>
  <si>
    <t>HEAT_PT_SCHEME</t>
  </si>
  <si>
    <t>Фамилия, имя и отчество (при наличии) руководителя:</t>
  </si>
  <si>
    <t>фамилия</t>
  </si>
  <si>
    <t>Указывается фамилия руководителя в соответствии с паспортными данными физического лица.</t>
  </si>
  <si>
    <t>имя</t>
  </si>
  <si>
    <t>Указывается имя руководителя в соответствии с паспортными данными физического лица.</t>
  </si>
  <si>
    <t>отчество (при наличии)</t>
  </si>
  <si>
    <t>Указывается отчество руководителя в соответствии с паспортными данными физического лица (при наличии).</t>
  </si>
  <si>
    <t xml:space="preserve">Почтовый адрес </t>
  </si>
  <si>
    <t>Указывается наименование субъекта Российской Федерации, муниципального района, города, иного населенного пункта, улицы, номер дома, при необходимости указывается корпус, строение, литера или дополнительная территория._x000D_
Данные указываются согласно наименованиям адресных объектов в ФИАС.</t>
  </si>
  <si>
    <t xml:space="preserve">Адрес места нахождения </t>
  </si>
  <si>
    <t>Справочные телефоны</t>
  </si>
  <si>
    <t>Указывается номер контактного телефона. В случае наличия нескольких номеров телефонов, информация по каждому из них указывается в отдельной строке.</t>
  </si>
  <si>
    <t>Адрес официального сайта органа регулирования тарифов в сети "Интернет"</t>
  </si>
  <si>
    <t>Указывается адрес официального сайта в сети "Интернет". В случае отсутствия официального сайта в сети "Интернет" указывается "Отсутствует".</t>
  </si>
  <si>
    <t>Адрес электронной почты</t>
  </si>
  <si>
    <t>Указывается при наличии.</t>
  </si>
  <si>
    <t>Наименование организации</t>
  </si>
  <si>
    <t>ОГРН (ОГРНИП)</t>
  </si>
  <si>
    <t>Добавить организацию</t>
  </si>
  <si>
    <t>дата</t>
  </si>
  <si>
    <t>время</t>
  </si>
  <si>
    <t>место</t>
  </si>
  <si>
    <t>Добавить заседание</t>
  </si>
  <si>
    <t>Наименование органа тарифного регулирования</t>
  </si>
  <si>
    <t>Заседание правления (коллегии) органа тарифного регулирования, на котором планируется рассмотрение дел об об утверждении предельного уровня цены на тепловую энергию (мощность)</t>
  </si>
  <si>
    <t>Принятые органом тарифного регулирования решения об утверждении предельного уровня цены на тепловую энергию (мощность), принимаемые в соответствии с Федеральным законом от 27 июля 2010 г. N 190-ФЗ "О теплоснабжении"</t>
  </si>
  <si>
    <t>Добавить должностное лицо</t>
  </si>
  <si>
    <t>Данные об организации, в отношении которой рассмотрено дело об административном правонарушении (общая информация о регулируемой организации и наименование должности)</t>
  </si>
  <si>
    <t xml:space="preserve">Наименование должности лица, в отношении которого рассмотрено дело об административном правонарушении </t>
  </si>
  <si>
    <t>Краткое описание нарушения</t>
  </si>
  <si>
    <t>Результат рассмотрения дела об административном правонарушении</t>
  </si>
  <si>
    <t>Наименование регулируемой организации</t>
  </si>
  <si>
    <t>В поле "Субъект Российской Федерации" указывается наименование субъекта Российской Федерации._x000D_
В поле "Наименование организации" указывается наименование юридического лица согласно уставу организации_x000D_
В поле "ИНН" указывается идентификационный номер налогоплательщика._x000D_
В поле "Краткое описание нарушения" указывается краткое описание нарушения с указанием статьи Кодекса Российской Федерации об административных правонарушениях._x000D_
В поле "Результат рассмотрения дела об административном правонарушении" указывается результат рассмотрения дела об административном правонарушении (с указанием вида административного наказания).</t>
  </si>
  <si>
    <r>
      <t xml:space="preserve">Информация о предоставлении электронного документа в исполнительный орган субъекта Российской Федерации в области государственного регулирования цен (тарифов) </t>
    </r>
    <r>
      <rPr>
        <charset val="204"/>
        <family val="2"/>
        <rFont val="Tahoma"/>
        <sz val="9"/>
        <vertAlign val="superscript"/>
      </rPr>
      <t>2</t>
    </r>
  </si>
  <si>
    <t>Данные электронного документа, подписанного усиленной квалифицированной электронной подписью уполномоченного представителя регулируемой организации</t>
  </si>
  <si>
    <t>Название документа</t>
  </si>
  <si>
    <t>Исходящий номер</t>
  </si>
  <si>
    <t>Дата отправления</t>
  </si>
  <si>
    <t>В колонке "Дата отправления" дата указывается в виде «ДД.ММ.ГГГГ»._x000D_
В колонке «Ссылка на документ» указывается ссылка на электронный документ, подписанный усиленной квалифицированной электронной подписью уполномоченного представителя регулируемой организации, предварительно загруженный в хранилище файлов ФГИС ЕИАС.</t>
  </si>
  <si>
    <r>
      <rPr>
        <charset val="204"/>
        <family val="2"/>
        <rFont val="Tahoma"/>
        <sz val="9"/>
        <vertAlign val="superscript"/>
      </rPr>
      <t>2</t>
    </r>
    <r>
      <rPr>
        <charset val="204"/>
        <family val="2"/>
        <rFont val="Tahoma"/>
        <sz val="9"/>
      </rPr>
      <t xml:space="preserve"> Размещается информация по каждой из форм раскрытия, данные в которой относятся к муниципальному образованию, в котором отсутствует доступ в сеть «Интернет».</t>
    </r>
  </si>
  <si>
    <t>Сведения об изменениях в первоначально опубликованной информации*</t>
  </si>
  <si>
    <t>Сведения</t>
  </si>
  <si>
    <t>Корректировка установленных долгосрочных тарифов на тепловую энергию для потребителей ПАО "КГК" на 2027 год</t>
  </si>
  <si>
    <t>Добавить</t>
  </si>
  <si>
    <t>* Лист заполняется в случае, если на Титульном листе в поле "Тип отчета" выбрано значение «Изменения в раскрытой ранее информации».</t>
  </si>
  <si>
    <t>Комментарии</t>
  </si>
  <si>
    <t>Результат проверки</t>
  </si>
  <si>
    <t>Ссылка</t>
  </si>
  <si>
    <t>Причина</t>
  </si>
  <si>
    <t>Статус</t>
  </si>
  <si>
    <t>et_CHANGE_INFO</t>
  </si>
  <si>
    <t>et_Comm</t>
  </si>
  <si>
    <t>et_TERRITORY_AREA</t>
  </si>
  <si>
    <t>et_TERRITORY_MO</t>
  </si>
  <si>
    <t>et_DIFFERENTIATION_VD</t>
  </si>
  <si>
    <t>et_DIFFERENTIATION_AREA</t>
  </si>
  <si>
    <t>et_DIFFERENTIATION_SYSTEM</t>
  </si>
  <si>
    <t>et_ORG_INFO_1</t>
  </si>
  <si>
    <t>et_ORG_INFO_2</t>
  </si>
  <si>
    <t>et_ORG_INFO_3</t>
  </si>
  <si>
    <t>et_ORG_TERRITORY_MO</t>
  </si>
  <si>
    <t>et_ORG_VD</t>
  </si>
  <si>
    <t>et_ED</t>
  </si>
  <si>
    <t>et_TERMS</t>
  </si>
  <si>
    <t>et_IP_MAIN</t>
  </si>
  <si>
    <t>ip_3</t>
  </si>
  <si>
    <t>Добавить реквизиты</t>
  </si>
  <si>
    <t>et_IP_MAIN_PROPERTY</t>
  </si>
  <si>
    <t>et_IP_DETAILED</t>
  </si>
  <si>
    <t>Добавить мероприятие</t>
  </si>
  <si>
    <t>et_IP_DETAILED_OBJECT</t>
  </si>
  <si>
    <t>Добавить источник финансирования</t>
  </si>
  <si>
    <t>et_IP_DETAILED_IST_FIN</t>
  </si>
  <si>
    <t>et_IP_DETAILED_EVENT</t>
  </si>
  <si>
    <t>Добавить объект инфраструктуры</t>
  </si>
  <si>
    <t>et_QRE</t>
  </si>
  <si>
    <t>Добавить цель</t>
  </si>
  <si>
    <t>et_B_FHD20_1_NOT_HEAT</t>
  </si>
  <si>
    <t>Добавить поставщика</t>
  </si>
  <si>
    <t>et_B_FHD20_1_HEAT</t>
  </si>
  <si>
    <t>et_B_FHD20_2, _3, _4</t>
  </si>
  <si>
    <t>Итого по поставщику, в том числе</t>
  </si>
  <si>
    <t>Добавить товар/услугу</t>
  </si>
  <si>
    <t>Добавить способ</t>
  </si>
  <si>
    <t>et_DIFFERENTIATION_TARIFF(_etc)</t>
  </si>
  <si>
    <t>et_DIFFERENTIATION_TARIFF_NOT_HEAT(_etc)</t>
  </si>
  <si>
    <t>et_DIFFERENTIATION_TKO(_etc)</t>
  </si>
  <si>
    <t>Добавить класс ТКО</t>
  </si>
  <si>
    <t>Добавить вид ТКО</t>
  </si>
  <si>
    <t>Добавить технологическую особенность</t>
  </si>
  <si>
    <t>Имя листа</t>
  </si>
  <si>
    <t>Наименование, номер формы</t>
  </si>
  <si>
    <t>ТП</t>
  </si>
  <si>
    <t>Форма 14. Информация о наличии (об отсутствии) технической возможности подключения (технологического присоединения) к системе теплоснабжения, а также о принятии и ходе рассмотрения заявок на заключение договора о подключении (технологическом присоединении) к системе теплоснабжения</t>
  </si>
  <si>
    <t>Общая информация об организации</t>
  </si>
  <si>
    <t>Форма 1. Информация о единых теплоснабжающих организациях в системе теплоснабжения, теплоснабжающих организациях, которым не присвоен статус единой теплоснабжающей организации, и теплосетевых организациях, функционирующих в поселениях и городских округах, не отнесенных к ценовым зонам теплоснабжения, и в поселениях и городских округах, отнесенных к ценовым зонам теплоснабжения в соответствии с Федеральным законом от 27 июля 2010 г. N 190-ФЗ "О теплоснабжении", до окончания переходного периода в ценовых зонах теплоснабжения (далее - регулируемые организации); о единых теплоснабжающих организациях, теплоснабжающих организациях, которым не присвоен статус единой теплоснабжающей организации, и теплосетевых организациях, функционирующих в поселениях и городских округах, отнесенных к ценовым зонам теплоснабжения в соответствии с Федеральным законом от 27 июля 2010 г. N 190-ФЗ "О теплоснабжении", после окончания переходного периода в ценовых зонах теплоснабжения (далее соответственно - единые теплоснабжающие организации в ценовых зонах теплоснабжения, теплоснабжающие организации в ценовых зонах теплоснабжения и теплосетевые организации в ценовых зонах теплоснабжения) (общая информация)</t>
  </si>
  <si>
    <t>Форма 1. Информация об организации (общая информация)</t>
  </si>
  <si>
    <t>Договоры</t>
  </si>
  <si>
    <t>Форма 15. Информация об условиях, на которых осуществляется поставка товаров (оказание услуг) в сфере теплоснабжения, цены (тарифы) на которые подлежат регулированию, и (или) условиях договоров о подключении (технологическом присоединении) к системе теплоснабжения, информация об условиях, на которых осуществляется поставка товаров (оказание услуг) по ценам, определяемым по соглашению сторон в соответствии с Федеральным законом от 27 июля 2010 г. N 190-ФЗ "О теплоснабжении", и (или) условиях договоров о подключении (технологическом присоединении) к системе теплоснабжения</t>
  </si>
  <si>
    <t>Форма 8. Информация об условиях, на которых осуществляется оказание услуг в области обращения с твердыми коммунальными отходами</t>
  </si>
  <si>
    <t>Показатели ФХД</t>
  </si>
  <si>
    <t>Показатели ФХД &gt;20%</t>
  </si>
  <si>
    <t>Форма 11. Информация о расходах на капитальный и текущий ремонт основных средств</t>
  </si>
  <si>
    <t>Форма 5. Информация о расходах на капитальный и текущий ремонт основных средств, расходах на услуги производственного характера, оказываемые по договорам с организациями на проведение ремонтных работ в рамках технологического процесса</t>
  </si>
  <si>
    <t>Показатели КНЭ</t>
  </si>
  <si>
    <t>Форма 6. Информация об основных потребительских характеристиках товаров (услуг), тарифы на которые подлежат регулированию, и их соответствии установленным требованиям</t>
  </si>
  <si>
    <t>PRICE_x000D_
_x000D_
Т-ТЭ | &gt;=25МВт_x000D_
Т-ТЭ | ТСО_x000D_
Резерв мощности</t>
  </si>
  <si>
    <t>Форма 3. Информация об установленных тарифах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 об установленных тарифах на тепловую энергию (мощность), поставляемую теплоснабжающими организациями потребителям, другим теплоснабжающим организациям, об установленной плате за услуги по поддержанию резервной тепловой мощности при отсутствии потребления тепловой энергии</t>
  </si>
  <si>
    <t>PRICE_x000D_
_x000D_
Т-ТН_x000D_
Т-передача ТЭ_x000D_
Т-передача ТН</t>
  </si>
  <si>
    <t>Форма 4. Информация об установленных тарифах на теплоноситель, поставляемый теплоснабжающими организациями потребителям, другим теплоснабжающим организациям, об установленных тарифах на услуги по передаче тепловой энергии, теплоносителя, о тарифах на теплоноситель в виде воды, поставляемый единой теплоснабжающей организацией в ценовых зонах теплоснабжения потребителям и теплоснабжающими организациями в ценовых зонах теплоснабжения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t>
  </si>
  <si>
    <t>PRICE_x000D_
_x000D_
Т-гор.вода</t>
  </si>
  <si>
    <t>Форма 5. Информация об установленных тарифах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 о тарифах на горячую воду, поставляемую единой теплоснабжающей организацией в ценовых зонах теплоснабжения потребителям с использованием открытых систем теплоснабжения (горячего водоснабжения), установленных в виде формулы двухкомпонентного тарифа с использованием компонента на теплоноситель и компонента на тепловую энергию, в том числе о числовых значениях компонентов указанного тарифа</t>
  </si>
  <si>
    <t>PRICE_x000D_
_x000D_
Т-подкл</t>
  </si>
  <si>
    <t>Форма 6. Информация об установленной плате за подключение (технологическое присоединение) к системе теплоснабжения, о плате за подключение (технологическое присоединение) к системе теплоснабжения, применяемой в случае, установленном частью 9 статьи 23 4 Федерального закона от 27 июля 2010 г. N 190-ФЗ "О теплоснабжении"</t>
  </si>
  <si>
    <t>REQUEST_x000D_
_x000D_
Т-ТЭ | &gt;=25МВт_x000D_
Т-ТЭ | ТСО_x000D_
Резерв мощности</t>
  </si>
  <si>
    <t>Форма 19. Информация о предложении регулируемой организации о расчетной величине тарифов в сфере теплоснабжения на очередной расчетный период регулирования</t>
  </si>
  <si>
    <t>REQUEST_x000D_
_x000D_
Т-ТН_x000D_
Т-передача ТЭ_x000D_
Т-передача ТН</t>
  </si>
  <si>
    <t>Форма 20. Информация о предложении регулируемой организации о расчетной величине тарифов на теплоноситель, поставляемый теплоснабжающими организациями потребителям, другим теплоснабжающим организациям, тарифов на услуги по передаче тепловой энергии, теплоносителя, о расчетной величине тарифов на теплоноситель в виде воды, поставляемый другим теплоснабжающим организациям в ценовых зонах теплоснабжения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t>
  </si>
  <si>
    <t>REQUEST_x000D_
_x000D_
Т-гор.вода</t>
  </si>
  <si>
    <t>Форма 21. Информация о предложении регулируемой организации о расчетной величине тарифов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 о расчетной величине тарифов на горячую воду, поставляемую единой теплоснабжающей организацией в ценовых зонах теплоснабжения потребителям с использованием открытых систем теплоснабжения (горячего водоснабжения), установленных в виде формулы двухкомпонентного тарифа с использованием компонента на теплоноситель и компонента на тепловую энергию, в том числе о числовых значениях компонентов указанного тарифа</t>
  </si>
  <si>
    <t>REQUEST_x000D_
_x000D_
Т-подкл</t>
  </si>
  <si>
    <t>Форма 22. Информация о предложении регулируемой организации о расчетной величине платы за подключение (технологическое присоединение) к системе теплоснабжения, о расчетной величине платы за подключение (технологическое присоединение) к системе теплоснабжения, применяемой в случае, установленном частью 9 статьи 23 4 Федерального закона от 27 июля 2010 г. N 190-ФЗ "О теплоснабжении"</t>
  </si>
  <si>
    <t>PRICE_x000D_
_x000D_
ХВС. Т-пит_x000D_
ХВС. Т-тех_x000D_
ХВС. Т-транс_x000D_
ХВС. Т-подвоз</t>
  </si>
  <si>
    <t>Форма 2. Информация_x000D_
о тарифах в сфере холодного водоснабжения на товары (услуги) организации холодного водоснабжения, подлежащих регулированию</t>
  </si>
  <si>
    <t>PRICE_x000D_
_x000D_
ХВС. Т-подкл</t>
  </si>
  <si>
    <t>Форма 3. Информация об установленных тарифах на подключение (технологическое присоединение) к централизованной системе холодного водоснабжения</t>
  </si>
  <si>
    <t>REQUEST_x000D_
_x000D_
ХВС. Т-пит_x000D_
ХВС. Т-тех_x000D_
ХВС. Т-транс_x000D_
ХВС. Т-подвоз</t>
  </si>
  <si>
    <t>Форма 13. Информация о предложении организации холодного водоснабжения об установлении расчетной величины тарифов в сфере холодного водоснабжения</t>
  </si>
  <si>
    <t>REQUEST_x000D_
_x000D_
ХВС. Т-подкл</t>
  </si>
  <si>
    <t>Форма 14. Информация о предложении организации холодного водоснабжения расчетной величины тарифов на подключение (технологическое присоединение) к централизованной системе холодного водоснабжения</t>
  </si>
  <si>
    <t>PRICE_x000D_
_x000D_
ГВС. Т-гор.вода_x000D_
ГВС. Т-транс</t>
  </si>
  <si>
    <t>Форма 2. Информация о тарифах в сфере горячего водоснабжения на товары (услуги) организации горячего водоснабжения, подлежащих регулированию</t>
  </si>
  <si>
    <t>PRICE_x000D_
_x000D_
ГВС. Т-подкл</t>
  </si>
  <si>
    <t>Форма 3. Информация об установленных тарифах на подключение (технологическое присоединение) к централизованной системе горячего водоснабжения</t>
  </si>
  <si>
    <t>REQUEST_x000D_
_x000D_
ГВС. Т-гор.вода_x000D_
ГВС. Т-транс</t>
  </si>
  <si>
    <t>Форма 13. Информация о предложении организации горячего водоснабжения об установлении расчетной величины тарифов в сфере горячего водоснабжения на очередной период регулирования</t>
  </si>
  <si>
    <t>REQUEST_x000D_
_x000D_
ГВС. Т-подкл</t>
  </si>
  <si>
    <t>Форма 14. Информация о предложении организации горячего водоснабжения расчетной величины тарифов на подключение (технологическое присоединение) к централизованной системе горячего водоснабжения</t>
  </si>
  <si>
    <t>PRICE_x000D_
_x000D_
ВО. Т-во_x000D_
ВО. Т-транс</t>
  </si>
  <si>
    <t>Форма 2. Информация о тарифах в сфере водоотведения на товары (услуги) организации водоотведения, подлежащих регулированию</t>
  </si>
  <si>
    <t>PRICE_x000D_
_x000D_
ВО. Т-подкл</t>
  </si>
  <si>
    <t>Форма 3.  Информация об установленных тарифах на подключение (технологическое присоединение) к централизованной системе водоотведения</t>
  </si>
  <si>
    <t>REQUEST_x000D_
_x000D_
ВО. Т-во_x000D_
ВО. Т-транс</t>
  </si>
  <si>
    <t>Форма 13. Информация о предложении организации водоотведения об установлении расчетной величины тарифов в сфере водоотведения на очередной период регулирования</t>
  </si>
  <si>
    <t>REQUEST_x000D_
_x000D_
ВО. Т-подкл</t>
  </si>
  <si>
    <t>Форма 14. Информация о предложении организации водоотведения расчетной величины тарифов на подключение к централизованной системе водоотведения</t>
  </si>
  <si>
    <t>Сведения о закупках</t>
  </si>
  <si>
    <t>Форма 17. Информация о способах приобретения, стоимости и об объемах товаров, необходимых регулируемой организации для производства товаров (оказания услуг) в сфере теплоснабжения, цены (тарифы) на которые подлежат регулированию, о способах приобретения, стоимости и об объемах товаров, необходимых для производства товаров и (или) оказания услуг единой теплоснабжающей организацией в ценовых зонах теплоснабжения, о способах приобретения, стоимости и об объемах товаров, необходимых для производства товаров и (или) оказания услуг теплоснабжающей организацией в ценовых зонах теплоснабжения и теплосетевой организацией в ценовых зонах теплоснабжения</t>
  </si>
  <si>
    <t>Форма 9.  Информация о способах приобретения, стоимости и об объемах товаров, работ и услуг, необходимых организации для осуществления регулируемых видов деятельности</t>
  </si>
  <si>
    <t>Порядок ТП</t>
  </si>
  <si>
    <t>Форма 16. Информация о порядке выполнения технологических, технических и других мероприятий, связанных с подключением (технологическим присоединением) к системе теплоснабжения</t>
  </si>
  <si>
    <t>Общая информация по ВД</t>
  </si>
  <si>
    <t>Форма 2. Общая информация об объектах теплоснабжения регулируемой организации, единой теплоснабжающей организации в ценовых зонах теплоснабжения, теплоснабжающей организации в ценовых зонах теплоснабжения и теплосетевой организации в ценовых зонах теплоснабжения</t>
  </si>
  <si>
    <t>ИП_x000D_
ИП. Детализация_x000D_
ИП. Финансовый план_x000D_
ИП. КНЭ</t>
  </si>
  <si>
    <t>Форма 13. Информация об инвестиционных программах регулируемой организации и отчетах об их исполнении, об инвестиционных программах единой теплоснабжающей организации в ценовых зонах теплоснабжения, разрабатываемых и утверждаемых в отношении видов деятельности, при осуществлении которых расчеты за товары (услуги) в сфере теплоснабжения осуществляются по регулируемым ценам (тарифам) в сфере теплоснабжения (за исключением деятельности по подключению (технологическому присоединению) к системе теплоснабжения), об инвестиционных программах теплоснабжающей организации в ценовых зонах теплоснабжения и теплосетевой организации в ценовых зонах теплоснабжения, разрабатываемых и утверждаемых в отношении видов деятельности, при осуществлении которых расчеты за товары (услуги) в сфере теплоснабжения осуществляются по регулируемым ценам (тарифам) в сфере теплоснабжения (за исключением деятельности по подключению (технологическому присоединению) к системе теплоснабжения)</t>
  </si>
  <si>
    <t>Форма 7. Информация об инвестиционных программах и отчетах об их реализации (в части регулируемых видов деятельности)</t>
  </si>
  <si>
    <t>пункт НПА</t>
  </si>
  <si>
    <t>подпункт НПА</t>
  </si>
  <si>
    <t>состав пункта</t>
  </si>
  <si>
    <t>описание парметров</t>
  </si>
  <si>
    <t>номер пункта</t>
  </si>
  <si>
    <t>описание параметров</t>
  </si>
  <si>
    <t>описание к листу Общая информация об организации</t>
  </si>
  <si>
    <t>В случае если регулируемыми организациями, единой теплоснабжающей организацией в ценовых зонах теплоснабжения, теплоснабжающей организацией в ценовых зонах теплоснабжения и теплосетевой организацией в ценовых зонах теплоснабжения оказываются услуги по теплоснабжению по нескольким технологически не связанным между собой централизованным системам теплоснабжения, и если в отношении указанных систем устанавливаются различные тарифы в сфере теплоснабжения, то информация раскрывается отдельно по каждой централизованной системе теплоснабжения.</t>
  </si>
  <si>
    <t>В случае если регулируемыми организациями оказываются услуги по холодному водоснабжению по нескольким технологически не связанным между собой централизованным системам холодного водоснабжения, и если в отношении указанных систем устанавливаются различные тарифы в сфере холодного водоснабжения, то информация раскрывается отдельно по каждой централизованной системе холодного водоснабжения.</t>
  </si>
  <si>
    <t>В случае если регулируемыми организациями оказываются услуги по горячему водоснабжению по нескольким технологически не связанным между собой централизованным системам горячего водоснабжения, и если в отношении указанных систем устанавливаются различные тарифы в сфере горячего водоснабжения, то информация раскрывается отдельно по каждой централизованной системе горячего водоснабжения.</t>
  </si>
  <si>
    <t>В случае если регулируемыми организациями оказываются услуги по водоотведению по нескольким технологически не связанным между собой централизованным системам водоотведения, и если в отношении указанных систем устанавливаются различные тарифы в сфере водоотведения, то информация раскрывается отдельно по каждой централизованной системе водоотведения.</t>
  </si>
  <si>
    <t>66</t>
  </si>
  <si>
    <t>а</t>
  </si>
  <si>
    <t>Количество поданных заявок</t>
  </si>
  <si>
    <t xml:space="preserve">Количество поданных заявлений </t>
  </si>
  <si>
    <t>Указывается количество поданных заявок на подключение (технологическое присоединение) к системе теплоснабжения в течение отчетного квартала.</t>
  </si>
  <si>
    <t>б</t>
  </si>
  <si>
    <t>Количество рассмотренных заявок</t>
  </si>
  <si>
    <t xml:space="preserve">Количество исполненных заявлений </t>
  </si>
  <si>
    <t>Указывается количество исполненных заявок на подключение (технологическое присоединение) к системе теплоснабжения в течение отчетного квартала.</t>
  </si>
  <si>
    <t>в</t>
  </si>
  <si>
    <t>Количество заявок на заключение договора о подключении (технологическом присоединении) к системе теплоснабжения, по которым регулируемой организацией отказано в заключении договора о подключении (технологическом присоединении) к системе теплоснабжения</t>
  </si>
  <si>
    <t>Количество заявлений о заключении договоров о подключении (технологическом присоединении), по которым отказано в заключении договора о подключении (технологическом присоединении)</t>
  </si>
  <si>
    <t>Указывается количество заявок с решением об отказе в течение отчетного квартала.</t>
  </si>
  <si>
    <t>Причины отказа в заключении договора о подключении (технологическом присоединении) к системе теплоснабжения</t>
  </si>
  <si>
    <t>Указывается текстовое описание причин принятия решений._x000D_
Не заполняется в случае, если решения об отказе в течение отчетного периода не принимались.</t>
  </si>
  <si>
    <t>г</t>
  </si>
  <si>
    <t>Резерв мощности источников тепловой энергии, входящих в систему теплоснабжения, в течение одного квартала, в том числе:</t>
  </si>
  <si>
    <t xml:space="preserve">Указывается резерв мощности для системы теплоснабжения, тариф для которой не является отличным от тарифов других систем теплоснабжения регулируемой организации._x000D_
При использовании регулируемой организацией нескольких систем теплоснабжения информация о резерве мощности источников тепловой энергии таких систем раскрывается в отношении каждой системы теплоснабжения в отдельных строках. </t>
  </si>
  <si>
    <t>Выручка от регулируемого вида деятельности с распределением по видам деятельности</t>
  </si>
  <si>
    <t>Выручка от регулируемых видов деятельности в сфере холодного водоснабжения</t>
  </si>
  <si>
    <t>Выручка от регулируемых видов деятельности в сфере горячего водоснабжения</t>
  </si>
  <si>
    <t>Выручка от регулируемых видов деятельности в сфере водоотведения</t>
  </si>
  <si>
    <t>Указывается выручка от регулируемого вида деятельности с распределением по видам деятельности.</t>
  </si>
  <si>
    <t>Указывается выручка с распределением по видам деятельности.</t>
  </si>
  <si>
    <t>Себестоимость производимых товаров (оказываемых услуг) по регулируемому виду деятельности, включая:</t>
  </si>
  <si>
    <t>Себестоимость производимых товаров (оказываемых услуг) по регулируемым видам деятельности в сфере холодного водоснабжения, включая:</t>
  </si>
  <si>
    <t>Себестоимость производимых товаров (оказываемых услуг) по регулируемым видам деятельности в сфере горячего водоснабжения, включая:</t>
  </si>
  <si>
    <t>Себестоимость производимых товаров (оказываемых услуг) по регулируемым видам деятельности в сфере водоотведения, включая:</t>
  </si>
  <si>
    <t>Указывается суммарная себестоимость производимых товаров.</t>
  </si>
  <si>
    <t>Расходы на приобретаемую тепловую энергию (мощность), теплоноситель</t>
  </si>
  <si>
    <t>Расходы на оплату холодной воды, приобретаемой у других организаций для последующей подачи потребителям</t>
  </si>
  <si>
    <t>Расходы на приобретаемую тепловую энергию (мощность), используемую для горячего водоснабжения</t>
  </si>
  <si>
    <t>Расходы на оплату услуг по приему, транспортировке и очистке сточных вод другими организациями</t>
  </si>
  <si>
    <t>Расходы на топливо с указанием по каждому виду топлива стоимости (за единицу объема), объема и способа его приобретения, стоимости его доставки</t>
  </si>
  <si>
    <t>Указываются суммарные расходы на приобретение топлива всех видов.</t>
  </si>
  <si>
    <t>Расходы на тепловую энергию, производимую с применением собственных источников и используемую для горячего водоснабжения</t>
  </si>
  <si>
    <t>Расходы на приобретаемую холодную воду, используемую для горячего водоснабжения</t>
  </si>
  <si>
    <t>Расходы на холодную воду, получаемую с применением собственных источников водозабора (скважин) и используемую для горячего водоснабжения</t>
  </si>
  <si>
    <t>Расходы на приобретаемую электрическую энергию (мощность), используемую в технологическом процессе</t>
  </si>
  <si>
    <t>2.5.1</t>
  </si>
  <si>
    <t>Средневзвешенная стоимость 1 кВт.ч (с учетом мощности)</t>
  </si>
  <si>
    <t>2.5.2</t>
  </si>
  <si>
    <t>Объём приобретения электрической энергии</t>
  </si>
  <si>
    <t>Расходы на приобретение холодной воды, используемой в технологическом процессе</t>
  </si>
  <si>
    <t>Расходы на химические реагенты, используемые в технологическом процессе</t>
  </si>
  <si>
    <t>Расходы на оплату труда и страховые взносы на обязательное социальное страхование, выплачиваемые из фонда оплаты труда основного производственного персонала, в том числе:</t>
  </si>
  <si>
    <t>Указывается общая сумма расходов на оплату труда и отчислений на социальные нужды основного производственного персонала.</t>
  </si>
  <si>
    <t>9.1</t>
  </si>
  <si>
    <t>2.6.1</t>
  </si>
  <si>
    <t>Расходы на оплату труда основного производственного персонала</t>
  </si>
  <si>
    <t>9.2</t>
  </si>
  <si>
    <t>2.6.2</t>
  </si>
  <si>
    <t>Страховые взносы на обязательное социальное страхование, выплачиваемые из фонда оплаты труда основного производственного персонала</t>
  </si>
  <si>
    <t>Расходы на оплату труда и страховые взносы на обязательное социальное страхование, выплачиваемые из фонда оплаты труда административно-управленческого персонала, в том числе:</t>
  </si>
  <si>
    <t>Расходы на оплату труда и страховые взносы на обязательное социальное страхование, выплачиваемые из фонда оплаты труда административно-управленческого персонала</t>
  </si>
  <si>
    <t>Указывается общая сумма расходов на оплату труда и отчислений на социальные нужды административно-управленческого персонала.</t>
  </si>
  <si>
    <t>10.1</t>
  </si>
  <si>
    <t>2.7.1</t>
  </si>
  <si>
    <t>Расходы на оплату труда административно-управленческого персонала</t>
  </si>
  <si>
    <t>Расходы на оплату труда административно-управленческого персонала, в том числе:</t>
  </si>
  <si>
    <t>10.2</t>
  </si>
  <si>
    <t>2.7.2</t>
  </si>
  <si>
    <t>Страховые взносы на обязательное социальное страхование, выплачиваемые из фонда оплаты труда административно-управленческого персонала</t>
  </si>
  <si>
    <t>Расходы на амортизацию основных средств и нематериальных активов</t>
  </si>
  <si>
    <t>11.1</t>
  </si>
  <si>
    <t>2.8.1</t>
  </si>
  <si>
    <t>Расходы на амортизацию основных средств</t>
  </si>
  <si>
    <t>11.2</t>
  </si>
  <si>
    <t>2.8.2</t>
  </si>
  <si>
    <t>Расходы на амортизацию нематериальных активов</t>
  </si>
  <si>
    <t>Расходы на аренду имущества, используемого для осуществления регулируемого вида деятельности</t>
  </si>
  <si>
    <t>Расходы на аренду имущества, используемого для осуществления регулируемых видов деятельности в сфере холодного водоснабжения</t>
  </si>
  <si>
    <t>Расходы на аренду имущества, используемого для осуществления регулируемых видов деятельности в сфере горячего водоснабжения</t>
  </si>
  <si>
    <t>Расходы на аренду имущества, используемого для осуществления регулируемых видов деятельности в сфере водоотведения</t>
  </si>
  <si>
    <t>2.10</t>
  </si>
  <si>
    <t>Общепроизводственные расходы, в том числе:</t>
  </si>
  <si>
    <t>Указывается общая сумма общепроизводственных расходов.</t>
  </si>
  <si>
    <t>13.1</t>
  </si>
  <si>
    <t>2.10.1</t>
  </si>
  <si>
    <t>Расходы на текущий ремонт</t>
  </si>
  <si>
    <t>Указываются расходы на текущий ремонт, отнесенные к общепроизводственным расходам.</t>
  </si>
  <si>
    <t>13.2</t>
  </si>
  <si>
    <t>2.10.2</t>
  </si>
  <si>
    <t>Расходы на капитальный ремонт</t>
  </si>
  <si>
    <t>Указываются расходы на капитальный ремонт, отнесенные к общепроизводственным расходам.</t>
  </si>
  <si>
    <t>2.11</t>
  </si>
  <si>
    <t>Общехозяйственные расходы, в том числе:</t>
  </si>
  <si>
    <t>Указывается общая сумма общехозяйственных расходов.</t>
  </si>
  <si>
    <t>14.1</t>
  </si>
  <si>
    <t>2.11.1</t>
  </si>
  <si>
    <t>2.9.1</t>
  </si>
  <si>
    <t>Указываются расходы на текущий ремонт, отнесенные к общехозяйственным расходам.</t>
  </si>
  <si>
    <t>14.2</t>
  </si>
  <si>
    <t>2.11.2</t>
  </si>
  <si>
    <t>2.9.2</t>
  </si>
  <si>
    <t>Указываются расходы на капитальный ремонт, отнесенные к общехозяйственным расходам.</t>
  </si>
  <si>
    <t>2.12</t>
  </si>
  <si>
    <t>Расходы на капитальный и текущий ремонт основных средств</t>
  </si>
  <si>
    <t>Указывается информация об объемах товаров и услуг, их стоимости и о способах приобретения у тех организаций, сумма оплаты услуг которых превышает 20 процентов суммы расходов по указанной статье расходов</t>
  </si>
  <si>
    <t>В том числе информацию об объемах товаров и услуг, их стоимости и о способах приобретения у тех организаций, сумма оплаты услуг которых превышает 20 процентов суммы расходов по указанной статье расходов</t>
  </si>
  <si>
    <t>15.1</t>
  </si>
  <si>
    <t>2.12.1</t>
  </si>
  <si>
    <t>Информация об объемах товаров и услуг, их стоимости и способах приобретения у тех организаций, сумма оплаты услуг которых превышает 20 процентов суммы расходов по указанной статье расходов</t>
  </si>
  <si>
    <t>2.13</t>
  </si>
  <si>
    <t xml:space="preserve">Расходы на услуги производственного характера, оказываемые по договорам с организациями на проведение регламентных работ в рамках технологического процесса </t>
  </si>
  <si>
    <t>Расходы на услуги производственного характера, оказываемые по договорам с организациями на проведение регламентных работ в рамках технологического процесса</t>
  </si>
  <si>
    <t>16.1</t>
  </si>
  <si>
    <t>2.13.1</t>
  </si>
  <si>
    <t>2.14</t>
  </si>
  <si>
    <t>Прочие расходы, которые подлежат отнесению на регулируемые виды деятельности в соответствии с законодательством Российской Федерации</t>
  </si>
  <si>
    <t>Прочие расходы, которые подлежат отнесению на регулируемые виды деятельности в сфере холодного водоснабжения в соответствии с Основами ценообразования в сфере водоснабжения и водоотведения, утвержденными постановлением Правительства Российской Федерации от 13 мая 2013 г. N 406 "О государственном регулировании тарифов в сфере водоснабжения и водоотведения" (далее - Основы ценообразования в сфере водоснабжения и водоотведения)</t>
  </si>
  <si>
    <t>Прочие расходы, которые отнесены на регулируемые виды деятельности в сфере горячего водоснабжения, в соответствии с Основами ценообразования в сфере водоснабжения и водоотведения</t>
  </si>
  <si>
    <t>Прочие расходы, которые подлежат отнесению на регулируемые виды деятельности в сфере водоотведения в соответствии с Основами ценообразования в сфере водоснабжения и водоотведения</t>
  </si>
  <si>
    <t>Указывается общая сумма прочих расходов, которые подлежат отнесению на регулируемые виды деятельности в соответствии с законодательством в сфере теплоснабжения.</t>
  </si>
  <si>
    <t>Указывается общая сумма прочих расходов, которые подлежат отнесению на регулируемые виды деятельности в соответствии с основами ценообразования в сфере водоснабжения и водоотведения.</t>
  </si>
  <si>
    <t>д</t>
  </si>
  <si>
    <t>Валовая прибыль (убытки) от реализации товаров и оказания услуг по регулируемому виду деятельности</t>
  </si>
  <si>
    <t>Чистая прибыль, полученная от регулируемого вида деятельности, в том числе:</t>
  </si>
  <si>
    <t>Чистая прибыль, полученная от регулируемого вида деятельности в сфере холодного водоснабжения, в том числе:</t>
  </si>
  <si>
    <t>Чистая прибыль, полученная от регулируемого вида деятельности в сфере горячего водоснабжения, в том числе:</t>
  </si>
  <si>
    <t>Чистая прибыль, полученная от регулируемого вида деятельности в сфере водоотведения, в том числе:</t>
  </si>
  <si>
    <t>Размер расходования чистой прибыли на финансирование мероприятий, предусмотренных инвестиционной программой регулируемой организации</t>
  </si>
  <si>
    <t>Изменение стоимости основных фондов за счет их ввода в эксплуатацию (вывода из эксплуатации)</t>
  </si>
  <si>
    <t>Указываются общее изменение стоимости основных фондов за счет их ввода в эксплуатацию и вывода из эксплуатации.</t>
  </si>
  <si>
    <t>Изменение стоимости основных фондов за счет их ввода в эксплуатацию</t>
  </si>
  <si>
    <t>5.1.2</t>
  </si>
  <si>
    <t>Изменение стоимости основных фондов за счет их вывода в эксплуатацию</t>
  </si>
  <si>
    <t>Изменение стоимости основных фондов за счет их переоценки</t>
  </si>
  <si>
    <t>Валовая прибыль (убытки) от продажи товаров и услуг по регулируемым видам деятельности в сфере холодного водоснабжения</t>
  </si>
  <si>
    <t>Валовая прибыль (убытки) от продажи товаров и услуг по регулируемым видам деятельности в сфере горячего водоснабжения</t>
  </si>
  <si>
    <t>Валовая прибыль (убытки) от продажи товаров и услуг по регулируемым видам деятельности в сфере водоотведения</t>
  </si>
  <si>
    <t>е</t>
  </si>
  <si>
    <t>Указывается ссылка на документ, предварительно загруженный в хранилище файлов ФГИС ЕИАС._x000D_
Регулируемыми организациями информация раскрывается в случае, если выручка от регулируемых видов деятельности превышает 80 процентов совокупной выручки за отчетный год.</t>
  </si>
  <si>
    <t>Указывается ссылка на документ, предварительно загруженный в хранилище файлов ФГИС ЕИАС._x000D_
Раскрывается регулируемой организацией, выручка от регулируемых видов деятельности в сфере водоснабжения и (или) водоотведения которой превышает 80 процентов совокупной выручки за отчетный год.</t>
  </si>
  <si>
    <t>Указывается ссылка на документ, предварительно загруженный в хранилище файлов ФГИС ЕИАС._x000D_
Раскрывается регулируемой организацией, выручка от регулируемых видов деятельности в сфере водоотведения и (или) водоотведения которой превышает 80 процентов совокупной выручки за отчетный год.</t>
  </si>
  <si>
    <t>ж</t>
  </si>
  <si>
    <t>Объём поднятой воды</t>
  </si>
  <si>
    <t>з</t>
  </si>
  <si>
    <t>Объём покупной воды</t>
  </si>
  <si>
    <t>и</t>
  </si>
  <si>
    <t>Объём воды, пропущенной через очистные сооружения</t>
  </si>
  <si>
    <t>к</t>
  </si>
  <si>
    <t>Объём отпущенной потребителям воды, в том числе:</t>
  </si>
  <si>
    <t>Указывается общий объем отпущенной потребителям воды.</t>
  </si>
  <si>
    <t>Объём отпущенной потребителям воды, определенный по приборам учета</t>
  </si>
  <si>
    <t>Объём отпущенной потребителям воды, определенный расчетным способом</t>
  </si>
  <si>
    <t>10.2.1</t>
  </si>
  <si>
    <t>Объём отпущенной потребителям воды, определенный по нормативам потребления коммунальных услуг</t>
  </si>
  <si>
    <t>10.2.2</t>
  </si>
  <si>
    <t xml:space="preserve">Объём отпущенной потребителям воды, определенный по нормативам потребления коммунальных ресурсов </t>
  </si>
  <si>
    <t>л</t>
  </si>
  <si>
    <t>Потери воды в сетях</t>
  </si>
  <si>
    <t>Объём приобретаемой холодной воды, используемой для горячего водоснабжения</t>
  </si>
  <si>
    <t>Объём холодной воды, получаемой с применением собственных источников водозабора (скважин) и используемой для горячего водоснабжения</t>
  </si>
  <si>
    <t>Объём приобретаемой тепловой энергии (мощности), используемой для горячего водоснабжения</t>
  </si>
  <si>
    <t>Объём тепловой энергии, производимой с применением собственных источников и используемой для горячего водоснабжения</t>
  </si>
  <si>
    <t>Потери горячей воды в сетях (процентов)</t>
  </si>
  <si>
    <t>Объём сточных вод, принятых от потребителей</t>
  </si>
  <si>
    <t>Объём сточных вод, принятых от других регулируемых организаций, осуществляющих водоотведение и (или) очистку сточных вод</t>
  </si>
  <si>
    <t>Объём сточных вод, пропущенных через очистные сооружения</t>
  </si>
  <si>
    <t>Указывается суммарная установленная тепловая мощность объектов основных фондов, используемых для осуществления теплоснабжения._x000D_
Регулируемыми организациями указывается информация по объектам, используемым для осуществления регулируемых видов деятельности.</t>
  </si>
  <si>
    <t>Тепловая нагрузка по договорам, заключенным в рамках осуществления регулируемых видов деятельности</t>
  </si>
  <si>
    <t>Регулируемыми организациями указывается информация по договорам, заключенным в рамках осуществления регулируемых видов деятельности</t>
  </si>
  <si>
    <t>Объем вырабатываемой регулируемой организацией тепловой энергии в рамках осуществления регулируемых видов деятельности</t>
  </si>
  <si>
    <t>Регулируемыми организациями указывается информация тепловой энергии, выработанной в рамках осуществления регулируемых видов деятельности.</t>
  </si>
  <si>
    <t>Объем приобретаемой регулируемой организацией тепловой энергии в рамках осуществления регулируемых видов деятельности</t>
  </si>
  <si>
    <t>Информация указывается только едиными теплоснабжающими организациями.</t>
  </si>
  <si>
    <t>Объем тепловой энергии, отпускаемой потребителям по договорам, заключенным в рамках осуществления регулируемых видов деятельности, определенном в том числе</t>
  </si>
  <si>
    <t>Указывается общий объем тепловой энергии, отпускаемой потребителям._x000D_
Регулируемыми организациями указывается информация, включая отдельно сведения об определенном по приборам учета объеме тепловой энергии, отпускаемой потребителям по договорам, максимальный объем потребления тепловой энергии объектов которых составляет менее чем 0,2 Гкал/ч</t>
  </si>
  <si>
    <t xml:space="preserve">По приборам учёта </t>
  </si>
  <si>
    <t>10.1.1</t>
  </si>
  <si>
    <t>Определенный по приборам учета объем тепловой энергии, отпускаемой по договорам потребителям, максимальный объем потребления тепловой энергии объектов которых составляет менее чем 0,2 Гкал</t>
  </si>
  <si>
    <t>Расчётным путём</t>
  </si>
  <si>
    <t>10.3</t>
  </si>
  <si>
    <t>По нормативам потребления коммунальных услуг и нормативам потребления коммунальных ресурсов</t>
  </si>
  <si>
    <t>м</t>
  </si>
  <si>
    <t>Нормативы технологических потерь при передаче тепловой энергии, теплоносителя по тепловым сетям, утвержденные уполномоченным органом</t>
  </si>
  <si>
    <t>н</t>
  </si>
  <si>
    <t>о</t>
  </si>
  <si>
    <t>п</t>
  </si>
  <si>
    <t>Удельный расход электрической энергии на подачу воды в сеть</t>
  </si>
  <si>
    <t>Расход воды на собственные нужды, в том числе:</t>
  </si>
  <si>
    <t>Указывается доля общего расхода воды на собственные нужны от объема отпуска воды потребителям.</t>
  </si>
  <si>
    <t>Расход воды на хозяйственно-бытовые нужды</t>
  </si>
  <si>
    <t>Указывается доля расхода воды на хозяйственно-бытовые нужны от объема отпуска воды потребителям.</t>
  </si>
  <si>
    <t>Показатель использования производственных объектов (по объему перекачки), в том числе:</t>
  </si>
  <si>
    <t>Указывается суммарный показатель использования по всем производственным объектам как процент объема перекачки по отношению к пиковому дню отчетного года.</t>
  </si>
  <si>
    <t>р</t>
  </si>
  <si>
    <t>Норматив удельного расхода условного топлива при производстве тепловой энергии источниками тепловой энергии, используемыми для осуществления регулируемых видов деятельности, в целом по регулируемой организации или с распределением по источникам тепловой энергии (в зависимости от показателя (показателей), утвержденного уполномоченным органом)</t>
  </si>
  <si>
    <t>Фактический удельный расход условного топлива при производстве тепловой энергии источниками тепловой энергии, используемыми для осуществления регулируемых видов деятельности, в целом по регулируемой организации или с распределением по источникам тепловой энергии (в зависимости от показателя (показателей), утвержденного уполномоченным органом)</t>
  </si>
  <si>
    <t>Регулируемыми организациями указывается информация с распределением по источникам тепловой энергии, используемым для осуществления регулируемых видов деятельности.</t>
  </si>
  <si>
    <t>т</t>
  </si>
  <si>
    <t>Удельный расход электрической энергии на производство (передачу) тепловой энергии на единицу тепловой энергии, отпускаемой потребителям по договорам, заключенным в рамках осуществления регулируемых видов деятельности</t>
  </si>
  <si>
    <t>Регулируемыми организациями указывается информация с по договорам, заключенным в рамках осуществления регулируемой деятельности.</t>
  </si>
  <si>
    <t>у</t>
  </si>
  <si>
    <t>Удельный расход холодной воды на производство (передачу) тепловой энергии на единицу тепловой энергии, отпускаемой потребителям по договорам, заключенным в рамках осуществления регулируемых видов деятельности</t>
  </si>
  <si>
    <t>ф</t>
  </si>
  <si>
    <t>Информация о показателях технико-экономического состояния систем теплоснабжения (за исключением теплопотребляющих установок потребителей тепловой энергии, теплоносителя, а также источников тепловой энергии, функционирующих в режиме комбинированной выработки электрической и тепловой энергии), в т.ч.:</t>
  </si>
  <si>
    <t>19.1</t>
  </si>
  <si>
    <t>Информация о показателях физического износа объектов теплоснабжения</t>
  </si>
  <si>
    <t>19.2</t>
  </si>
  <si>
    <t>Информация о показателях энергетической эффективности объектов теплоснабжения</t>
  </si>
  <si>
    <t>27/44</t>
  </si>
  <si>
    <t>68</t>
  </si>
  <si>
    <t>Сведения об условиях публичных договоров регулируемых организаций,  сведения об условиях публичных договоров, заключаемых единой теплоснабжающей организацией в ценовых зонах теплоснабжения, теплоснабжающей организацией в ценовых зонах теплоснабжения и теплосетевой организацией в ценовых зонах теплоснабжения, в том числе</t>
  </si>
  <si>
    <t>Сведения об условиях публичных договоров на оказание регулируемых услуг в области обращения с твердыми коммунальными отходами</t>
  </si>
  <si>
    <t>Форма 4. Информация об установленных тарифах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 об установленных тарифах на тепловую энергию (мощность), поставляемую теплоснабжающими организациями потребителям, другим теплоснабжающим организациям, об установленной плате за услуги по поддержанию резервной тепловой мощности при отсутствии потребления тепловой энергии  &lt;1&gt;</t>
  </si>
  <si>
    <t>Период действия тарифа</t>
  </si>
  <si>
    <t>Добавить наименование системы теплоснабжения</t>
  </si>
  <si>
    <t>pt_vtar_3</t>
  </si>
  <si>
    <t xml:space="preserve">Для каждого вида тарифа в сфере теплоснабжения форма заполняется отдельно. При размещении информации по данной форме дополнительно указываются: наименование органа регулирования тарифов, принявшего решение об утверждении тарифа, дата и номер документа об утверждении тарифа, источник официального опубликования решения._x000D_
</t>
  </si>
  <si>
    <t>По данной форме раскрывается в том числе информация об индикативном предельном уровне цены на тепловую энергию (мощность), которые определены в соответствии с Правилами определения в ценовых зонах теплоснабжения предельного уровня цены на тепловую энергию (мощность), включая правила индексации предельного уровня цены на тепловую энергию (мощность), утвержденными постановлением Правительства Российской Федерации от 15 декабря 2017 г. № 1562 "Об определении в ценовых зонах теплоснабжения предельного уровня цены на тепловую энергию (мощность), включая индексацию предельного уровня цены на тепловую энергию (мощность), и технико-экономических параметров работы котельных и тепловых сетей, используемых для расчета предельного уровня цены на тепловую энергию (мощность)", о графике поэтапного равномерного доведения предельного уровня цены на тепловую энергию (мощность) до уровня, определяемого в соответствии с указанными Правилами., а также  информация о тарифах на товары (услуги) в сфере теплоснабжения в случаях, указанных в частях 12.1 – 12.4 статьи 10 Федерального закона от 27.07.2010 № 190-ФЗ «О теплоснабжении» (далее – Федеральный закон № 190-ФЗ), теплоснабжающей организации, теплосетевой организации в ценовых зонах теплоснабжения.</t>
  </si>
  <si>
    <t>Цвет</t>
  </si>
  <si>
    <t>Раздел</t>
  </si>
  <si>
    <t>доп.листы</t>
  </si>
  <si>
    <t>готовность</t>
  </si>
  <si>
    <t>ИП</t>
  </si>
  <si>
    <t>REGION_ID</t>
  </si>
  <si>
    <t>REGION_NAME</t>
  </si>
  <si>
    <t>RST_ORG_ID</t>
  </si>
  <si>
    <t>ORG_NAME</t>
  </si>
  <si>
    <t>INN_NAME</t>
  </si>
  <si>
    <t>KPP_NAME</t>
  </si>
  <si>
    <t>ORG_START_DATE</t>
  </si>
  <si>
    <t>ORG_END_DATE</t>
  </si>
  <si>
    <t>SPHERE</t>
  </si>
  <si>
    <t>2643</t>
  </si>
  <si>
    <t>26416749</t>
  </si>
  <si>
    <t>АО "АЭРОПОРТ КУРГАН"</t>
  </si>
  <si>
    <t>4501080974</t>
  </si>
  <si>
    <t>15-12-2002 00:00:00</t>
  </si>
  <si>
    <t>31006301</t>
  </si>
  <si>
    <t>АО "Варгашинское ДРСП"</t>
  </si>
  <si>
    <t>4505200979</t>
  </si>
  <si>
    <t>450501001</t>
  </si>
  <si>
    <t>15-04-2013 00:00:00</t>
  </si>
  <si>
    <t>30335229</t>
  </si>
  <si>
    <t>АО "ГУ ЖКХ"</t>
  </si>
  <si>
    <t>5116000922</t>
  </si>
  <si>
    <t>770401001</t>
  </si>
  <si>
    <t>30376563</t>
  </si>
  <si>
    <t>АО "КИЖК"</t>
  </si>
  <si>
    <t>4501086165</t>
  </si>
  <si>
    <t>28981394</t>
  </si>
  <si>
    <t>АО "Курганмашзавод"</t>
  </si>
  <si>
    <t>4501008142</t>
  </si>
  <si>
    <t>09-11-1993 00:00:00</t>
  </si>
  <si>
    <t>26760471</t>
  </si>
  <si>
    <t>АО "Курганфармация"</t>
  </si>
  <si>
    <t>4501127083</t>
  </si>
  <si>
    <t>27-12-2006 00:00:00</t>
  </si>
  <si>
    <t>26415634</t>
  </si>
  <si>
    <t>АО «ШААЗ»</t>
  </si>
  <si>
    <t>4502000019</t>
  </si>
  <si>
    <t>450201001</t>
  </si>
  <si>
    <t>27567057</t>
  </si>
  <si>
    <t>Акционерное общество "Ремонтно-эксплуатационное управление" филиал "Екатеринбургский", г. Екатеринбург</t>
  </si>
  <si>
    <t>7714783092</t>
  </si>
  <si>
    <t>667243001</t>
  </si>
  <si>
    <t>26415662</t>
  </si>
  <si>
    <t>Акционерное общество "Шадринский комбинат хлебопродуктов"</t>
  </si>
  <si>
    <t>4522000698</t>
  </si>
  <si>
    <t>14-10-2002 00:00:00</t>
  </si>
  <si>
    <t>26415681</t>
  </si>
  <si>
    <t>Акционерное общество «ЗОК»</t>
  </si>
  <si>
    <t>4502000516</t>
  </si>
  <si>
    <t>28269765</t>
  </si>
  <si>
    <t>ГБОУ СПО "Курганский технологический колледж"</t>
  </si>
  <si>
    <t>4501008551</t>
  </si>
  <si>
    <t>30357186</t>
  </si>
  <si>
    <t>ГБУ "Далматовская центральная районная больница"</t>
  </si>
  <si>
    <t>4506000852</t>
  </si>
  <si>
    <t>450601001</t>
  </si>
  <si>
    <t>05-12-2002 00:00:00</t>
  </si>
  <si>
    <t>28873195</t>
  </si>
  <si>
    <t>ГБУ "Каргапольский  ПНИ"</t>
  </si>
  <si>
    <t>4508004651</t>
  </si>
  <si>
    <t>450801001</t>
  </si>
  <si>
    <t>06-02-2003 00:00:00</t>
  </si>
  <si>
    <t>26464258</t>
  </si>
  <si>
    <t>ГКСКОУ "Красноисетская  школа-интернат"</t>
  </si>
  <si>
    <t>4506001599</t>
  </si>
  <si>
    <t>30869948</t>
  </si>
  <si>
    <t>ГКУ "КОПТД"</t>
  </si>
  <si>
    <t>4501013738</t>
  </si>
  <si>
    <t>19-12-2002 00:00:00</t>
  </si>
  <si>
    <t>30357180</t>
  </si>
  <si>
    <t>ГКУ "Шадринский областной противотуберкулезный диспансер"</t>
  </si>
  <si>
    <t>4502004133</t>
  </si>
  <si>
    <t>26413880</t>
  </si>
  <si>
    <t>Государственное образовательное учреждение для детей-сирот и детей, оставшихся без попечения родителей "Курганский областной детский дом №2"</t>
  </si>
  <si>
    <t>4502022848</t>
  </si>
  <si>
    <t>26416782</t>
  </si>
  <si>
    <t>Государственное унитарное предприятие "Лен Зауралья"</t>
  </si>
  <si>
    <t>4501088677</t>
  </si>
  <si>
    <t>27-01-2026 00:00:00</t>
  </si>
  <si>
    <t>ДЕПАРТАМЕНТ ГОСУДАРСТВЕННОГО РЕГУЛИРОВАНИЯ ЦЕН И ТАРИФОВ КУРГАНСКОЙ ОБЛАСТИ</t>
  </si>
  <si>
    <t>4501103572</t>
  </si>
  <si>
    <t>26375035</t>
  </si>
  <si>
    <t>Далматовское ЛПУМГ - филиал ООО "Газпром трансгаз Екатеринбург"</t>
  </si>
  <si>
    <t>6608007434</t>
  </si>
  <si>
    <t>450602001</t>
  </si>
  <si>
    <t>27-07-2009 00:00:00</t>
  </si>
  <si>
    <t>31540687</t>
  </si>
  <si>
    <t>ИП ЖУРАВЛЕВ А.М.</t>
  </si>
  <si>
    <t>451602593730</t>
  </si>
  <si>
    <t>25-09-2017 00:00:00</t>
  </si>
  <si>
    <t>31533710</t>
  </si>
  <si>
    <t>ИП Кантаев Ильяс Исаевич</t>
  </si>
  <si>
    <t>452100786899</t>
  </si>
  <si>
    <t>23-11-2020 00:00:00</t>
  </si>
  <si>
    <t>01-09-2024 00:00:00</t>
  </si>
  <si>
    <t>30876413</t>
  </si>
  <si>
    <t>ИП Леонов В.И.</t>
  </si>
  <si>
    <t>450136722905</t>
  </si>
  <si>
    <t>28547009</t>
  </si>
  <si>
    <t>ИП Леонтьев В.М.</t>
  </si>
  <si>
    <t>452600051645</t>
  </si>
  <si>
    <t>30980829</t>
  </si>
  <si>
    <t>ИП Санкина Н.Д.</t>
  </si>
  <si>
    <t>452200322280</t>
  </si>
  <si>
    <t>30436424</t>
  </si>
  <si>
    <t>ИП Сладковская Л.А.</t>
  </si>
  <si>
    <t>450104249669</t>
  </si>
  <si>
    <t>30-12-2004 00:00:00</t>
  </si>
  <si>
    <t>31642151</t>
  </si>
  <si>
    <t>КГУ</t>
  </si>
  <si>
    <t>4501050909</t>
  </si>
  <si>
    <t>09-10-2002 00:00:00</t>
  </si>
  <si>
    <t>31651495</t>
  </si>
  <si>
    <t>КУРГАНСКАЯ ГОСУДАРСТВЕННАЯ СЕЛЬСКОХОЗЯЙСТВЕННАЯ АКАДЕМИЯ ИМЕНИ Т.С. МАЛЬЦЕВА - ФИЛИАЛ ФГБОУ ВО "КГУ"</t>
  </si>
  <si>
    <t>450043002</t>
  </si>
  <si>
    <t>29-12-2022 00:00:00</t>
  </si>
  <si>
    <t>26379041</t>
  </si>
  <si>
    <t>Курганское нефтепроводное управление  ЛПДС "Медведское" - филиал АО "Транснефть-Урал"</t>
  </si>
  <si>
    <t>0278039018</t>
  </si>
  <si>
    <t>452502001</t>
  </si>
  <si>
    <t>15-10-2009 00:00:00</t>
  </si>
  <si>
    <t>26370494</t>
  </si>
  <si>
    <t>Курганское нефтепроводное управление (ЛПДС  "Суслово" )  филиал  АО "Транснефть-Урал"</t>
  </si>
  <si>
    <t>451302001</t>
  </si>
  <si>
    <t>26370496</t>
  </si>
  <si>
    <t>Курганское нефтепроводное управление (ЛПДС  "Юргамыш" )  филиал АО "Транснефть-Урал"</t>
  </si>
  <si>
    <t>452645001</t>
  </si>
  <si>
    <t>30980876</t>
  </si>
  <si>
    <t>МКП "Единство"</t>
  </si>
  <si>
    <t>4517010524</t>
  </si>
  <si>
    <t>451701001</t>
  </si>
  <si>
    <t>28-12-2024 00:00:00</t>
  </si>
  <si>
    <t>31832180</t>
  </si>
  <si>
    <t>МКП "КРУТОГОРСКОЕ"</t>
  </si>
  <si>
    <t>4500017088</t>
  </si>
  <si>
    <t>450001001</t>
  </si>
  <si>
    <t>04-02-2025 00:00:00</t>
  </si>
  <si>
    <t>31695129</t>
  </si>
  <si>
    <t>МКП "Ларга"</t>
  </si>
  <si>
    <t>4500010004</t>
  </si>
  <si>
    <t>10-08-2023 00:00:00</t>
  </si>
  <si>
    <t>31391184</t>
  </si>
  <si>
    <t>МКП "ПРИТОБОЛЬЕ"</t>
  </si>
  <si>
    <t>4518020236</t>
  </si>
  <si>
    <t>451801001</t>
  </si>
  <si>
    <t>18-10-2019 00:00:00</t>
  </si>
  <si>
    <t>31458250</t>
  </si>
  <si>
    <t>МКП "Петухово"</t>
  </si>
  <si>
    <t>4516010088</t>
  </si>
  <si>
    <t>451601001</t>
  </si>
  <si>
    <t>01-11-2018 00:00:00</t>
  </si>
  <si>
    <t>31697582</t>
  </si>
  <si>
    <t>МКП "Ресурсник"</t>
  </si>
  <si>
    <t>4500009256</t>
  </si>
  <si>
    <t>03-07-2023 00:00:00</t>
  </si>
  <si>
    <t>31472325</t>
  </si>
  <si>
    <t>МКП "Рублевское" г. Щучье</t>
  </si>
  <si>
    <t>4525067010</t>
  </si>
  <si>
    <t>452506701</t>
  </si>
  <si>
    <t>12-10-2020 00:00:00</t>
  </si>
  <si>
    <t>31686762</t>
  </si>
  <si>
    <t>МКП "ТЕПЛОСЕТЬ"</t>
  </si>
  <si>
    <t>4500008943</t>
  </si>
  <si>
    <t>13-06-2023 00:00:00</t>
  </si>
  <si>
    <t>31529897</t>
  </si>
  <si>
    <t>МКП "Энергия"</t>
  </si>
  <si>
    <t>4524097501</t>
  </si>
  <si>
    <t>452401001</t>
  </si>
  <si>
    <t>11-10-2021 00:00:00</t>
  </si>
  <si>
    <t>30990468</t>
  </si>
  <si>
    <t>МП "КБО"</t>
  </si>
  <si>
    <t>4502013723</t>
  </si>
  <si>
    <t>19-01-2024 00:00:00</t>
  </si>
  <si>
    <t>26425850</t>
  </si>
  <si>
    <t>МП "СПЕЦАВТОТРАНС"</t>
  </si>
  <si>
    <t>4502018094</t>
  </si>
  <si>
    <t>24-04-2006 00:00:00</t>
  </si>
  <si>
    <t>13-06-2024 00:00:00</t>
  </si>
  <si>
    <t>26464281</t>
  </si>
  <si>
    <t>МП Далматовского муниципального округа "Уксянское ЖКХ"</t>
  </si>
  <si>
    <t>4506005970</t>
  </si>
  <si>
    <t>01-06-2004 00:00:00</t>
  </si>
  <si>
    <t>26373030</t>
  </si>
  <si>
    <t>МП Далматовского муниципального округа «Песчано-Колединское ЖКХ»</t>
  </si>
  <si>
    <t>4506006396</t>
  </si>
  <si>
    <t>11-03-2006 00:00:00</t>
  </si>
  <si>
    <t>26357408</t>
  </si>
  <si>
    <t>МП Далматовского муниципального округа «Теплоэнергия»</t>
  </si>
  <si>
    <t>4506004631</t>
  </si>
  <si>
    <t>14-08-2002 00:00:00</t>
  </si>
  <si>
    <t>31449231</t>
  </si>
  <si>
    <t>МУНИЦИПАЛЬНОЕ УНИТАРНОЕ ПРЕДПРИЯТИЕ ШУМИХИНСКОГО МУНИЦИПАЛЬНОГО ОКРУГА КУРГАНСКОЙ ОБЛАСТИ "КРУТОГОРСКОЕ"</t>
  </si>
  <si>
    <t>4524097188</t>
  </si>
  <si>
    <t>02-09-2020 00:00:00</t>
  </si>
  <si>
    <t>28143341</t>
  </si>
  <si>
    <t>МУП "Водоканал"</t>
  </si>
  <si>
    <t>4520452040</t>
  </si>
  <si>
    <t>452001001</t>
  </si>
  <si>
    <t>29-10-2012 00:00:00</t>
  </si>
  <si>
    <t>26640614</t>
  </si>
  <si>
    <t>МУП "Городские тепловые сети"</t>
  </si>
  <si>
    <t>4516009614</t>
  </si>
  <si>
    <t>18-08-2010 00:00:00</t>
  </si>
  <si>
    <t>23-08-2024 00:00:00</t>
  </si>
  <si>
    <t>30990740</t>
  </si>
  <si>
    <t>МУП "Прометей"</t>
  </si>
  <si>
    <t>4501002912</t>
  </si>
  <si>
    <t>16-09-2002 00:00:00</t>
  </si>
  <si>
    <t>20-02-2025 00:00:00</t>
  </si>
  <si>
    <t>27507732</t>
  </si>
  <si>
    <t>МУП "Родник"</t>
  </si>
  <si>
    <t>4510026902</t>
  </si>
  <si>
    <t>451001001</t>
  </si>
  <si>
    <t>27643195</t>
  </si>
  <si>
    <t>МУП "Теплогарант"</t>
  </si>
  <si>
    <t>4523004582</t>
  </si>
  <si>
    <t>452301001</t>
  </si>
  <si>
    <t>26-05-2011 00:00:00</t>
  </si>
  <si>
    <t>28029482</t>
  </si>
  <si>
    <t>МУП "Теплосервис+"</t>
  </si>
  <si>
    <t>4512007662</t>
  </si>
  <si>
    <t>451201001</t>
  </si>
  <si>
    <t>24-10-2024 00:00:00</t>
  </si>
  <si>
    <t>26464325</t>
  </si>
  <si>
    <t>МУП Администрации Введенского сельсовета «Введенское»</t>
  </si>
  <si>
    <t>4510022880</t>
  </si>
  <si>
    <t>14-02-2025 00:00:00</t>
  </si>
  <si>
    <t>26373125</t>
  </si>
  <si>
    <t>Муниципальное унитарное предприятие "Коммунальное хозяйство"</t>
  </si>
  <si>
    <t>4523003571</t>
  </si>
  <si>
    <t>01-09-2005 00:00:00</t>
  </si>
  <si>
    <t>26380342</t>
  </si>
  <si>
    <t>Муниципальное унитарное предприятие "Медведское жилищно-коммунальное хозяйство"</t>
  </si>
  <si>
    <t>4525005180</t>
  </si>
  <si>
    <t>452501001</t>
  </si>
  <si>
    <t>16-08-2024 00:00:00</t>
  </si>
  <si>
    <t>26373135</t>
  </si>
  <si>
    <t>Муниципальное унитарное предприятие "Новомировское Домоуправление Юргамышского Муниципального округа Курганской области"</t>
  </si>
  <si>
    <t>4526005224</t>
  </si>
  <si>
    <t>452601001</t>
  </si>
  <si>
    <t>08-11-2005 00:00:00</t>
  </si>
  <si>
    <t>02-11-2024 00:00:00</t>
  </si>
  <si>
    <t>31522025</t>
  </si>
  <si>
    <t>Муниципальное унитарное предприятие "Тепло" с. Белозерское</t>
  </si>
  <si>
    <t>4508010366</t>
  </si>
  <si>
    <t>09-08-2021 00:00:00</t>
  </si>
  <si>
    <t>26415501</t>
  </si>
  <si>
    <t>Муниципальное унитарное предприятие "Тепловик"</t>
  </si>
  <si>
    <t>4507002154</t>
  </si>
  <si>
    <t>450701001</t>
  </si>
  <si>
    <t>05-11-2003 00:00:00</t>
  </si>
  <si>
    <t>26463846</t>
  </si>
  <si>
    <t>Муниципальное унитарное предприятие муниципального образования Лебяжьевского муниципального округа "Теплотранс"</t>
  </si>
  <si>
    <t>4512006965</t>
  </si>
  <si>
    <t>31-07-2008 00:00:00</t>
  </si>
  <si>
    <t>26413895</t>
  </si>
  <si>
    <t>НОУДПО Петуховская автомобильная школа Общероссийской общественно-государственной организации "Добровольное общество содействия армии, авиации и флоту России"</t>
  </si>
  <si>
    <t>4516000114</t>
  </si>
  <si>
    <t>31817750</t>
  </si>
  <si>
    <t>ОБОСОБЛЕННОЕ ПОДРАЗДЕЛЕНИЕ ПАО "КГК" ШАДРИНСКИЕ ТЕПЛОВЫЕ СЕТИ</t>
  </si>
  <si>
    <t>450045001</t>
  </si>
  <si>
    <t>05-11-2024 00:00:00</t>
  </si>
  <si>
    <t>31817741</t>
  </si>
  <si>
    <t>ОБОСОБЛЕННОЕ ПОДРАЗДЕЛЕНИЕ ПАО "КГК" ЭНЕРГЕТИЧЕСКИЕ СЕТИ</t>
  </si>
  <si>
    <t>450045002</t>
  </si>
  <si>
    <t>31391243</t>
  </si>
  <si>
    <t>ОБЩЕСТВО С ОГРАНИЧЕННОЙ ОТВЕТСТВЕННОСТЬЮ "ТЕПЛО РЕСУРС"</t>
  </si>
  <si>
    <t>4508010158</t>
  </si>
  <si>
    <t>05-09-2019 00:00:00</t>
  </si>
  <si>
    <t>31690711</t>
  </si>
  <si>
    <t>ООО "АВАНГАРД"</t>
  </si>
  <si>
    <t>4508010408</t>
  </si>
  <si>
    <t>13-09-2021 00:00:00</t>
  </si>
  <si>
    <t>30836354</t>
  </si>
  <si>
    <t>ООО "Апикс"</t>
  </si>
  <si>
    <t>7204172762</t>
  </si>
  <si>
    <t>720301001</t>
  </si>
  <si>
    <t>16-09-2011 00:00:00</t>
  </si>
  <si>
    <t>30853442</t>
  </si>
  <si>
    <t>ООО "Арабика"</t>
  </si>
  <si>
    <t>6623095996</t>
  </si>
  <si>
    <t>662301001</t>
  </si>
  <si>
    <t>09-08-2013 00:00:00</t>
  </si>
  <si>
    <t>30370543</t>
  </si>
  <si>
    <t>ООО "ГСП-Теплосеть"</t>
  </si>
  <si>
    <t>4517010475</t>
  </si>
  <si>
    <t>28796178</t>
  </si>
  <si>
    <t>ООО "Гефест"</t>
  </si>
  <si>
    <t>4502028342</t>
  </si>
  <si>
    <t>05-02-2014 00:00:00</t>
  </si>
  <si>
    <t>28436281</t>
  </si>
  <si>
    <t>ООО "ЖКХ Юго-Запад"</t>
  </si>
  <si>
    <t>4519006185</t>
  </si>
  <si>
    <t>451901001</t>
  </si>
  <si>
    <t>28-06-2013 00:00:00</t>
  </si>
  <si>
    <t>30356725</t>
  </si>
  <si>
    <t>ООО "Жилсервис"</t>
  </si>
  <si>
    <t>4510029340</t>
  </si>
  <si>
    <t>30-04-2014 00:00:00</t>
  </si>
  <si>
    <t>28796188</t>
  </si>
  <si>
    <t>ООО "Импульс"</t>
  </si>
  <si>
    <t>4510027952</t>
  </si>
  <si>
    <t>11-01-2024 00:00:00</t>
  </si>
  <si>
    <t>31217544</t>
  </si>
  <si>
    <t>ООО "КЗПТ"</t>
  </si>
  <si>
    <t>4501181789</t>
  </si>
  <si>
    <t>31766256</t>
  </si>
  <si>
    <t>ООО "КОТЕЛЬНАЯ ДСК"</t>
  </si>
  <si>
    <t>4500014802</t>
  </si>
  <si>
    <t>23-07-2024 00:00:00</t>
  </si>
  <si>
    <t>31513109</t>
  </si>
  <si>
    <t>ООО "КУРГАН ТЕПЛО"</t>
  </si>
  <si>
    <t>4526006556</t>
  </si>
  <si>
    <t>26-02-2021 00:00:00</t>
  </si>
  <si>
    <t>31448016</t>
  </si>
  <si>
    <t>ООО "КУРГАНСКИЕ ТЕПЛОЭНЕРГЕТИЧЕСКИЕ СИСТЕМЫ"</t>
  </si>
  <si>
    <t>4501225595</t>
  </si>
  <si>
    <t>13-11-2019 00:00:00</t>
  </si>
  <si>
    <t>26-02-2025 00:00:00</t>
  </si>
  <si>
    <t>26640616</t>
  </si>
  <si>
    <t>ООО "Коммунальные сети"</t>
  </si>
  <si>
    <t>4508006553</t>
  </si>
  <si>
    <t>08-02-2002 00:00:00</t>
  </si>
  <si>
    <t>30851193</t>
  </si>
  <si>
    <t>ООО "Комфорт-Трэвэл"</t>
  </si>
  <si>
    <t>4510029195</t>
  </si>
  <si>
    <t>17-02-2014 00:00:00</t>
  </si>
  <si>
    <t>26641925</t>
  </si>
  <si>
    <t>ООО "Курганская ТЭЦ"</t>
  </si>
  <si>
    <t>4501121003</t>
  </si>
  <si>
    <t>25-04-2006 00:00:00</t>
  </si>
  <si>
    <t>30376955</t>
  </si>
  <si>
    <t>ООО "МУП Тепло"</t>
  </si>
  <si>
    <t>4514100586</t>
  </si>
  <si>
    <t>451401001</t>
  </si>
  <si>
    <t>25-12-2009 00:00:00</t>
  </si>
  <si>
    <t>31773855</t>
  </si>
  <si>
    <t>ООО "Новомировское домоуправление"</t>
  </si>
  <si>
    <t>4500015965</t>
  </si>
  <si>
    <t>27670379</t>
  </si>
  <si>
    <t>ООО "Огонек"</t>
  </si>
  <si>
    <t>4507002429</t>
  </si>
  <si>
    <t>01-09-2009 00:00:00</t>
  </si>
  <si>
    <t>31528484</t>
  </si>
  <si>
    <t>ООО "Ойл Трейд"</t>
  </si>
  <si>
    <t>4501227754</t>
  </si>
  <si>
    <t>31824396</t>
  </si>
  <si>
    <t>ООО "Прометей"</t>
  </si>
  <si>
    <t>4500017257</t>
  </si>
  <si>
    <t>31624504</t>
  </si>
  <si>
    <t>ООО "Промэкология"</t>
  </si>
  <si>
    <t>4524009417</t>
  </si>
  <si>
    <t>05-12-2014 00:00:00</t>
  </si>
  <si>
    <t>30990463</t>
  </si>
  <si>
    <t>ООО "РМЦ"</t>
  </si>
  <si>
    <t>4501107619</t>
  </si>
  <si>
    <t>18-03-2004 00:00:00</t>
  </si>
  <si>
    <t>31761588</t>
  </si>
  <si>
    <t>ООО "САТ"</t>
  </si>
  <si>
    <t>4500014295</t>
  </si>
  <si>
    <t>31890184</t>
  </si>
  <si>
    <t>ООО "ТВК"</t>
  </si>
  <si>
    <t>4500017634</t>
  </si>
  <si>
    <t>31-03-2025 00:00:00</t>
  </si>
  <si>
    <t>31395327</t>
  </si>
  <si>
    <t>ООО "ТЕПЛОВЫЕ СИСТЕМЫ"</t>
  </si>
  <si>
    <t>4513008891</t>
  </si>
  <si>
    <t>451301001</t>
  </si>
  <si>
    <t>27-12-2024 00:00:00</t>
  </si>
  <si>
    <t>31885884</t>
  </si>
  <si>
    <t>ООО "ТЕПЛОСЕРВИС"</t>
  </si>
  <si>
    <t>4500016983</t>
  </si>
  <si>
    <t>27-01-2025 00:00:00</t>
  </si>
  <si>
    <t>28423799</t>
  </si>
  <si>
    <t>ООО "Тепло Люкс"</t>
  </si>
  <si>
    <t>4514101124</t>
  </si>
  <si>
    <t>04-04-2013 00:00:00</t>
  </si>
  <si>
    <t>30851270</t>
  </si>
  <si>
    <t>ООО "Тепло"</t>
  </si>
  <si>
    <t>4521003350</t>
  </si>
  <si>
    <t>452101001</t>
  </si>
  <si>
    <t>28817828</t>
  </si>
  <si>
    <t>ООО "Тепло-Мощь"</t>
  </si>
  <si>
    <t>4501192607</t>
  </si>
  <si>
    <t>09-04-2014 00:00:00</t>
  </si>
  <si>
    <t>30853436</t>
  </si>
  <si>
    <t>ООО "ТеплоКурорт"</t>
  </si>
  <si>
    <t>4516010024</t>
  </si>
  <si>
    <t>03-03-2008 00:00:00</t>
  </si>
  <si>
    <t>02-09-2025 00:00:00</t>
  </si>
  <si>
    <t>28275157</t>
  </si>
  <si>
    <t>ООО "ТеплоРесурс"</t>
  </si>
  <si>
    <t>6658434618</t>
  </si>
  <si>
    <t>665801001</t>
  </si>
  <si>
    <t>10-06-2013 00:00:00</t>
  </si>
  <si>
    <t>04-12-2024 00:00:00</t>
  </si>
  <si>
    <t>30843848</t>
  </si>
  <si>
    <t>ООО "Тепловик"</t>
  </si>
  <si>
    <t>4509005400</t>
  </si>
  <si>
    <t>450901001</t>
  </si>
  <si>
    <t>28-08-2007 00:00:00</t>
  </si>
  <si>
    <t>26755891</t>
  </si>
  <si>
    <t>ООО "Тепловод"</t>
  </si>
  <si>
    <t>4506009492</t>
  </si>
  <si>
    <t>28006843</t>
  </si>
  <si>
    <t>ООО "Тепловодосети"</t>
  </si>
  <si>
    <t>4510026853</t>
  </si>
  <si>
    <t>16-05-2011 00:00:00</t>
  </si>
  <si>
    <t>31239787</t>
  </si>
  <si>
    <t>ООО "Теплодар"</t>
  </si>
  <si>
    <t>4510031613</t>
  </si>
  <si>
    <t>11-10-2018 00:00:00</t>
  </si>
  <si>
    <t>27778810</t>
  </si>
  <si>
    <t>ООО "Теплоресурс"</t>
  </si>
  <si>
    <t>4513008411</t>
  </si>
  <si>
    <t>12-12-2011 00:00:00</t>
  </si>
  <si>
    <t>28435800</t>
  </si>
  <si>
    <t>ООО "Теплосервис"</t>
  </si>
  <si>
    <t>7459000872</t>
  </si>
  <si>
    <t>17-08-2012 00:00:00</t>
  </si>
  <si>
    <t>28796169</t>
  </si>
  <si>
    <t>ООО "Теплосеть"</t>
  </si>
  <si>
    <t>4510028561</t>
  </si>
  <si>
    <t>12-07-2013 00:00:00</t>
  </si>
  <si>
    <t>31619197</t>
  </si>
  <si>
    <t>ООО "Теплоснаб"</t>
  </si>
  <si>
    <t>4500000084</t>
  </si>
  <si>
    <t>29-03-2022 00:00:00</t>
  </si>
  <si>
    <t>30843743</t>
  </si>
  <si>
    <t>ООО "Теплофикация"</t>
  </si>
  <si>
    <t>4504044477</t>
  </si>
  <si>
    <t>450401001</t>
  </si>
  <si>
    <t>25-08-2025 00:00:00</t>
  </si>
  <si>
    <t>30357126</t>
  </si>
  <si>
    <t>ООО "Теплоэнергия"</t>
  </si>
  <si>
    <t>4516009950</t>
  </si>
  <si>
    <t>14-11-2014 00:00:00</t>
  </si>
  <si>
    <t>28436270</t>
  </si>
  <si>
    <t>ООО "УК "Уют"</t>
  </si>
  <si>
    <t>4501149954</t>
  </si>
  <si>
    <t>31362129</t>
  </si>
  <si>
    <t>ООО "УПРАВЛЕНИЕ СНАБЖЕНИЯ ТОПЛИВНО-ЭНЕРГЕТИЧЕСКОГО КОМПЛЕКСА"</t>
  </si>
  <si>
    <t>4507002820</t>
  </si>
  <si>
    <t>12-07-2019 00:00:00</t>
  </si>
  <si>
    <t>15-07-2025 00:00:00</t>
  </si>
  <si>
    <t>27989449</t>
  </si>
  <si>
    <t>ООО "Уральская энергия"</t>
  </si>
  <si>
    <t>7447214380</t>
  </si>
  <si>
    <t>745301001</t>
  </si>
  <si>
    <t>19-09-2012 00:00:00</t>
  </si>
  <si>
    <t>17-07-2025 00:00:00</t>
  </si>
  <si>
    <t>27649540</t>
  </si>
  <si>
    <t>ООО "Уют"</t>
  </si>
  <si>
    <t>4510026846</t>
  </si>
  <si>
    <t>30394097</t>
  </si>
  <si>
    <t>ООО "Частоозерская теплосеть"</t>
  </si>
  <si>
    <t>4521003343</t>
  </si>
  <si>
    <t>31447978</t>
  </si>
  <si>
    <t>ООО "ШАДРИНСКИЕ ТЕПЛОВЫЕ СЕТИ"</t>
  </si>
  <si>
    <t>4502031909</t>
  </si>
  <si>
    <t>28436313</t>
  </si>
  <si>
    <t>ООО "ЭнергоРесурс"</t>
  </si>
  <si>
    <t>6678032378</t>
  </si>
  <si>
    <t>452445001</t>
  </si>
  <si>
    <t>31455189</t>
  </si>
  <si>
    <t>ООО "ЮПИТЕР"</t>
  </si>
  <si>
    <t>4508010221</t>
  </si>
  <si>
    <t>26-06-2020 00:00:00</t>
  </si>
  <si>
    <t>31361583</t>
  </si>
  <si>
    <t>ООО "ЮРГАМЫШСКАЯ ТЕПЛОЭНЕРГЕТИЧЕСКАЯ КОМПАНИЯ"</t>
  </si>
  <si>
    <t>4526006500</t>
  </si>
  <si>
    <t>21-10-2019 00:00:00</t>
  </si>
  <si>
    <t>30867006</t>
  </si>
  <si>
    <t>ООО "Юргамышский лесхоз"</t>
  </si>
  <si>
    <t>4526006330</t>
  </si>
  <si>
    <t>26416049</t>
  </si>
  <si>
    <t>ООО «Курганхиммаш»</t>
  </si>
  <si>
    <t>4501184300</t>
  </si>
  <si>
    <t>450150001</t>
  </si>
  <si>
    <t>01-04-2013 00:00:00</t>
  </si>
  <si>
    <t>31357119</t>
  </si>
  <si>
    <t>ООО ТСК "ИГНИС"</t>
  </si>
  <si>
    <t>4517010556</t>
  </si>
  <si>
    <t>25-04-2019 00:00:00</t>
  </si>
  <si>
    <t>26373037</t>
  </si>
  <si>
    <t>Общество с ограниченной ответсвенностью "имени Калинина"</t>
  </si>
  <si>
    <t>4508008695</t>
  </si>
  <si>
    <t>26575426</t>
  </si>
  <si>
    <t>Общество с ограниченной ответственностью "Газпром трансгаз Екатеринбург", г.Екатеринбург</t>
  </si>
  <si>
    <t>546050001</t>
  </si>
  <si>
    <t>26414011</t>
  </si>
  <si>
    <t>Общество с ограниченной ответственностью "Грант"</t>
  </si>
  <si>
    <t>4509006002</t>
  </si>
  <si>
    <t>18-09-2009 00:00:00</t>
  </si>
  <si>
    <t>26414047</t>
  </si>
  <si>
    <t>Общество с ограниченной ответственностью "Коммунальщик"</t>
  </si>
  <si>
    <t>4509005601</t>
  </si>
  <si>
    <t>29-08-2008 00:00:00</t>
  </si>
  <si>
    <t>26373046</t>
  </si>
  <si>
    <t>Общество с ограниченной ответственностью "Кособродский тепловодоканал"</t>
  </si>
  <si>
    <t>4508007902</t>
  </si>
  <si>
    <t>13-06-2007 00:00:00</t>
  </si>
  <si>
    <t>26416768</t>
  </si>
  <si>
    <t>Общество с ограниченной ответственностью "Молоко Зауралья"</t>
  </si>
  <si>
    <t>4501090620</t>
  </si>
  <si>
    <t>19-09-2002 00:00:00</t>
  </si>
  <si>
    <t>31665215</t>
  </si>
  <si>
    <t>Общество с ограниченной ответственностью "Стройотдел"</t>
  </si>
  <si>
    <t>7203460302</t>
  </si>
  <si>
    <t>10-10-2018 00:00:00</t>
  </si>
  <si>
    <t>27583534</t>
  </si>
  <si>
    <t>Общество с ограниченной ответственностью "Теплоснаб", г.Екатеринбург</t>
  </si>
  <si>
    <t>6658390400</t>
  </si>
  <si>
    <t>26560873</t>
  </si>
  <si>
    <t>Общество с ограниченной ответственностью "Теплоцентраль"</t>
  </si>
  <si>
    <t>4505200721</t>
  </si>
  <si>
    <t>28-06-2010 00:00:00</t>
  </si>
  <si>
    <t>27361267</t>
  </si>
  <si>
    <t>Общество с ограниченной ответственностью "ТермоГаз"</t>
  </si>
  <si>
    <t>4505200841</t>
  </si>
  <si>
    <t>28-04-2011 00:00:00</t>
  </si>
  <si>
    <t>26415610</t>
  </si>
  <si>
    <t>Общество с ограниченной ответственностью "Универсал-5"</t>
  </si>
  <si>
    <t>4510001288</t>
  </si>
  <si>
    <t>30-12-2002 00:00:00</t>
  </si>
  <si>
    <t>28812659</t>
  </si>
  <si>
    <t>Общество с ограниченной ответственностью "Уральская теплоэнергетическая компания", г. Екатеринбург</t>
  </si>
  <si>
    <t>6658458150</t>
  </si>
  <si>
    <t>11-09-2014 00:00:00</t>
  </si>
  <si>
    <t>25-11-2025 00:00:00</t>
  </si>
  <si>
    <t>28264826</t>
  </si>
  <si>
    <t>Общество с ограниченной ответственностью "ЭнергоРесурс", г. Екатеринбург</t>
  </si>
  <si>
    <t>667801001</t>
  </si>
  <si>
    <t>06-09-2013 00:00:00</t>
  </si>
  <si>
    <t>26413929</t>
  </si>
  <si>
    <t>Общество с ограниченной ответственностью "Энергосервис"</t>
  </si>
  <si>
    <t>4524008445</t>
  </si>
  <si>
    <t>13-04-2009 00:00:00</t>
  </si>
  <si>
    <t>26795028</t>
  </si>
  <si>
    <t>Общество с ограниченной ответственностью «АК 1230»</t>
  </si>
  <si>
    <t>4501131869</t>
  </si>
  <si>
    <t>26424495</t>
  </si>
  <si>
    <t>Общество с ограниченной ответственностью «Долговский теплосервис»</t>
  </si>
  <si>
    <t>4508008134</t>
  </si>
  <si>
    <t>21-05-2008 00:00:00</t>
  </si>
  <si>
    <t>26426665</t>
  </si>
  <si>
    <t>Общество с ограниченной ответственностью «Лес–СВ»</t>
  </si>
  <si>
    <t>4523003469</t>
  </si>
  <si>
    <t>23-01-2004 00:00:00</t>
  </si>
  <si>
    <t>26425909</t>
  </si>
  <si>
    <t>Общество с ограниченной ответственностью «Половинский коммунальный сервис»</t>
  </si>
  <si>
    <t>4517009896</t>
  </si>
  <si>
    <t>26476710</t>
  </si>
  <si>
    <t>Общество с ограниченной ответственностью «Управляющая промышленно-топлевная компания»</t>
  </si>
  <si>
    <t>4507002348</t>
  </si>
  <si>
    <t>26425864</t>
  </si>
  <si>
    <t>Открытое акционерное общество "Варгашинский завод противопожарного и специального оборудования"</t>
  </si>
  <si>
    <t>4505008009</t>
  </si>
  <si>
    <t>26413847</t>
  </si>
  <si>
    <t>Открытое акционерное общество "Современные коммунальные системы"</t>
  </si>
  <si>
    <t>4501140398</t>
  </si>
  <si>
    <t>05-05-2008 00:00:00</t>
  </si>
  <si>
    <t>01-07-2006 00:00:00</t>
  </si>
  <si>
    <t>26417632</t>
  </si>
  <si>
    <t>ПАО «Синтез»</t>
  </si>
  <si>
    <t>4501023743</t>
  </si>
  <si>
    <t>23-12-2002 00:00:00</t>
  </si>
  <si>
    <t>31651519</t>
  </si>
  <si>
    <t>ПЕТУХОВСКИЙ ТЕХНИКУМ МЕХАНИЗАЦИИ И ЭЛЕКТРИФИКАЦИИ СЕЛЬСКОГО ХОЗЯЙСТВА - ФИЛИАЛ ФГБОУ ВО "КГУ"</t>
  </si>
  <si>
    <t>450043003</t>
  </si>
  <si>
    <t>30851187</t>
  </si>
  <si>
    <t>ПОУ "Куртамышская АШ ДОСААФ России"</t>
  </si>
  <si>
    <t>4511001763</t>
  </si>
  <si>
    <t>451101001</t>
  </si>
  <si>
    <t>10-12-2002 00:00:00</t>
  </si>
  <si>
    <t>26755906</t>
  </si>
  <si>
    <t>ФБУ ФУ БХУХО (в/ч 70855)</t>
  </si>
  <si>
    <t>7724729390</t>
  </si>
  <si>
    <t>452543001</t>
  </si>
  <si>
    <t>31798755</t>
  </si>
  <si>
    <t>ФГБПОУ "ПЕТУХОВСКИЙ ТЕХНИКУМ МЕХАНИЗАЦИИ И ЭЛЕКТРИФИКАЦИИ СЕЛЬСКОГО ХОЗЯЙСТВА"</t>
  </si>
  <si>
    <t>4500014947</t>
  </si>
  <si>
    <t>30903763</t>
  </si>
  <si>
    <t>ФГБУ "ЦЖКУ" МИНОБОРОНЫ РОССИИ</t>
  </si>
  <si>
    <t>7729314745</t>
  </si>
  <si>
    <t>770101001</t>
  </si>
  <si>
    <t>26464578</t>
  </si>
  <si>
    <t>ФГКУ  "Пограничное управление ФСБ РФ по Курганской и Тюменской областям"</t>
  </si>
  <si>
    <t>4501114214</t>
  </si>
  <si>
    <t>03-05-2005 00:00:00</t>
  </si>
  <si>
    <t>26373133</t>
  </si>
  <si>
    <t>ФКУ  «ИК № 7 УФСИН по Курганской области»</t>
  </si>
  <si>
    <t>4526004189</t>
  </si>
  <si>
    <t>18-11-2002 00:00:00</t>
  </si>
  <si>
    <t>26373044</t>
  </si>
  <si>
    <t>Федеральное государственное казенное учреждение комбинат «Комсомолец»</t>
  </si>
  <si>
    <t>4508007010</t>
  </si>
  <si>
    <t>26464290</t>
  </si>
  <si>
    <t>Федеральное казенное учреждение "Исправительная колония №2" УФСИН России по Курганской области</t>
  </si>
  <si>
    <t>4510010236</t>
  </si>
  <si>
    <t>27-12-2002 00:00:00</t>
  </si>
  <si>
    <t>28054316</t>
  </si>
  <si>
    <t>Федеральное казенное учреждение «Исправительная колония № 6 Управления Федеральной службы исполнения наказаний по Курганской области»</t>
  </si>
  <si>
    <t>4510010250</t>
  </si>
  <si>
    <t>18-12-2002 00:00:00</t>
  </si>
  <si>
    <t>26644639</t>
  </si>
  <si>
    <t>Филиал "Молочный Комбинат "ШАДРИНСКИЙ" Акционерного общества "ДАНОН РОССИЯ"</t>
  </si>
  <si>
    <t>7714626332</t>
  </si>
  <si>
    <t>450202001</t>
  </si>
  <si>
    <t>31583196</t>
  </si>
  <si>
    <t>Филиал ООО "САФ-НЕВА" в г. Кургане</t>
  </si>
  <si>
    <t>7826691266</t>
  </si>
  <si>
    <t>450102001</t>
  </si>
  <si>
    <t>22-11-2002 00:00:00</t>
  </si>
  <si>
    <t>30914574</t>
  </si>
  <si>
    <t>Филиал ФГБУ "ЦЖКУ" МИНОБОРОНЫ РОССИИ (по ЦВО)</t>
  </si>
  <si>
    <t>667043001</t>
  </si>
  <si>
    <t>26375034</t>
  </si>
  <si>
    <t>Шадринское ЛПУМГ - филиал ООО "Газпром трансгаз Екатеринбург"</t>
  </si>
  <si>
    <t>26637519</t>
  </si>
  <si>
    <t>452332004</t>
  </si>
  <si>
    <t>26360992</t>
  </si>
  <si>
    <t>Южно-Уральская дирекция по тепловодоснабжению - структурное подразделение Центральной дирекции по тепловодоснабжению - филиала ОАО "РЖД"</t>
  </si>
  <si>
    <t>7708503727</t>
  </si>
  <si>
    <t>744945004</t>
  </si>
  <si>
    <t>23-09-2003 00:00:00</t>
  </si>
  <si>
    <t>26498351</t>
  </si>
  <si>
    <t>Южно-Уральская железная дорога филиала ОАО "РЖД"</t>
  </si>
  <si>
    <t>451631002</t>
  </si>
  <si>
    <t>31447971</t>
  </si>
  <si>
    <t>АО "КУРГАНВОДОКАНАЛ"</t>
  </si>
  <si>
    <t>4501175665</t>
  </si>
  <si>
    <t>01-06-2012 00:00:00</t>
  </si>
  <si>
    <t>28140639</t>
  </si>
  <si>
    <t>АО "Катайский насосный завод"</t>
  </si>
  <si>
    <t>4509000018</t>
  </si>
  <si>
    <t>26644771</t>
  </si>
  <si>
    <t>Акционерное общество "Водный союз"</t>
  </si>
  <si>
    <t>4501158733</t>
  </si>
  <si>
    <t>16-04-2010 00:00:00</t>
  </si>
  <si>
    <t>27510933</t>
  </si>
  <si>
    <t>ГБПОУ "КГК"</t>
  </si>
  <si>
    <t>4501014964</t>
  </si>
  <si>
    <t>27-07-1994 00:00:00</t>
  </si>
  <si>
    <t>28873209</t>
  </si>
  <si>
    <t>ГБУ "Куртамышский ПНИ"</t>
  </si>
  <si>
    <t>4511008247</t>
  </si>
  <si>
    <t>31161747</t>
  </si>
  <si>
    <t>ГБУ "Санаторий "Озеро Горькое"</t>
  </si>
  <si>
    <t>4525002012</t>
  </si>
  <si>
    <t>31192399</t>
  </si>
  <si>
    <t>ИП Некрутов В.А.</t>
  </si>
  <si>
    <t>452500137835</t>
  </si>
  <si>
    <t>30435937</t>
  </si>
  <si>
    <t>ИП Федосимов Е.Г.</t>
  </si>
  <si>
    <t>451000189128</t>
  </si>
  <si>
    <t>26373078</t>
  </si>
  <si>
    <t>Колхоз им. Гагарина</t>
  </si>
  <si>
    <t>4516007913</t>
  </si>
  <si>
    <t>31584960</t>
  </si>
  <si>
    <t>МКП  "ВОДОКАНАЛ"</t>
  </si>
  <si>
    <t>4524097830</t>
  </si>
  <si>
    <t>452409783</t>
  </si>
  <si>
    <t>01-02-2022 00:00:00</t>
  </si>
  <si>
    <t>31748516</t>
  </si>
  <si>
    <t>МКП "АкваСервис"</t>
  </si>
  <si>
    <t>4500012763</t>
  </si>
  <si>
    <t>14-02-2024 00:00:00</t>
  </si>
  <si>
    <t>31909906</t>
  </si>
  <si>
    <t>МКУ "ХОЗГРУППА"</t>
  </si>
  <si>
    <t>4519004935</t>
  </si>
  <si>
    <t>19-05-2004 00:00:00</t>
  </si>
  <si>
    <t>26373015</t>
  </si>
  <si>
    <t>МП "ВОДОКАНАЛ"</t>
  </si>
  <si>
    <t>4502000763</t>
  </si>
  <si>
    <t>19-10-2002 00:00:00</t>
  </si>
  <si>
    <t>28873202</t>
  </si>
  <si>
    <t>МП "Исток"</t>
  </si>
  <si>
    <t>4517010450</t>
  </si>
  <si>
    <t>23-07-2014 00:00:00</t>
  </si>
  <si>
    <t>26373029</t>
  </si>
  <si>
    <t>МП ДАЛМАТОВСКОГО МУНИЦИПАЛЬНОГО ОКРУГА "ВОДХОЗ"</t>
  </si>
  <si>
    <t>4506004649</t>
  </si>
  <si>
    <t>15-10-2002 00:00:00</t>
  </si>
  <si>
    <t>31250275</t>
  </si>
  <si>
    <t>4515005367</t>
  </si>
  <si>
    <t>451501001</t>
  </si>
  <si>
    <t>31250021</t>
  </si>
  <si>
    <t>МУП "ГКС"</t>
  </si>
  <si>
    <t>4524009255</t>
  </si>
  <si>
    <t>12-03-2013 00:00:00</t>
  </si>
  <si>
    <t>28007502</t>
  </si>
  <si>
    <t>МУП "ЖИЛКОМХОЗ"</t>
  </si>
  <si>
    <t>4513008429</t>
  </si>
  <si>
    <t>27665632</t>
  </si>
  <si>
    <t>МУП "ЖКХ"</t>
  </si>
  <si>
    <t>4507002482</t>
  </si>
  <si>
    <t>21-02-2025 00:00:00</t>
  </si>
  <si>
    <t>28444693</t>
  </si>
  <si>
    <t>МУП "Обутки"</t>
  </si>
  <si>
    <t>4513008651</t>
  </si>
  <si>
    <t>16-05-2013 00:00:00</t>
  </si>
  <si>
    <t>02-12-2024 00:00:00</t>
  </si>
  <si>
    <t>28873185</t>
  </si>
  <si>
    <t>МУП "Сельский водоканал"</t>
  </si>
  <si>
    <t>4517010468</t>
  </si>
  <si>
    <t>31197322</t>
  </si>
  <si>
    <t>МУП "УК "Жилищник"</t>
  </si>
  <si>
    <t>4513008274</t>
  </si>
  <si>
    <t>28423738</t>
  </si>
  <si>
    <t>МУП "Уют"</t>
  </si>
  <si>
    <t>4503004320</t>
  </si>
  <si>
    <t>450301001</t>
  </si>
  <si>
    <t>10-01-2025 00:00:00</t>
  </si>
  <si>
    <t>31687684</t>
  </si>
  <si>
    <t>Муниципальное унитарное предприятие "Водолей" Шадринского муниципального округа Курганской области</t>
  </si>
  <si>
    <t>4500007234</t>
  </si>
  <si>
    <t>10-03-2023 00:00:00</t>
  </si>
  <si>
    <t>31349026</t>
  </si>
  <si>
    <t>Муниципальное унитарное предприятие Круглянского сельсовета "Родник"</t>
  </si>
  <si>
    <t>4507002771</t>
  </si>
  <si>
    <t>11-11-2018 00:00:00</t>
  </si>
  <si>
    <t>26513603</t>
  </si>
  <si>
    <t>ООО  "СпецБурВод"</t>
  </si>
  <si>
    <t>4522008295</t>
  </si>
  <si>
    <t>31520287</t>
  </si>
  <si>
    <t>ООО "Аквасервис"</t>
  </si>
  <si>
    <t>4504010051</t>
  </si>
  <si>
    <t>31647441</t>
  </si>
  <si>
    <t>ООО "БИОС"</t>
  </si>
  <si>
    <t>4508010398</t>
  </si>
  <si>
    <t>10-09-2021 00:00:00</t>
  </si>
  <si>
    <t>31601750</t>
  </si>
  <si>
    <t>ООО "ВОДОКАНАЛ РЕСУРС"</t>
  </si>
  <si>
    <t>4524097854</t>
  </si>
  <si>
    <t>09-02-2022 00:00:00</t>
  </si>
  <si>
    <t>31455199</t>
  </si>
  <si>
    <t>ООО "ВОДОКАНАЛ"</t>
  </si>
  <si>
    <t>4509007180</t>
  </si>
  <si>
    <t>30384271</t>
  </si>
  <si>
    <t>ООО "Водоканал Шумиха"</t>
  </si>
  <si>
    <t>4524009382</t>
  </si>
  <si>
    <t>31660395</t>
  </si>
  <si>
    <t>ООО "Водоканал"</t>
  </si>
  <si>
    <t>4500001112</t>
  </si>
  <si>
    <t>18-05-2022 00:00:00</t>
  </si>
  <si>
    <t>26373083</t>
  </si>
  <si>
    <t>4519005230</t>
  </si>
  <si>
    <t>30857689</t>
  </si>
  <si>
    <t>ООО "Водолей"</t>
  </si>
  <si>
    <t>4521003311</t>
  </si>
  <si>
    <t>27981568</t>
  </si>
  <si>
    <t>ООО "Водомер"</t>
  </si>
  <si>
    <t>4509006531</t>
  </si>
  <si>
    <t>12-01-2026 00:00:00</t>
  </si>
  <si>
    <t>26768823</t>
  </si>
  <si>
    <t>ООО "Водсервис"</t>
  </si>
  <si>
    <t>4506009510</t>
  </si>
  <si>
    <t>04-04-2025 00:00:00</t>
  </si>
  <si>
    <t>26647402</t>
  </si>
  <si>
    <t>ООО "Городское водоснабжение"</t>
  </si>
  <si>
    <t>4525006306</t>
  </si>
  <si>
    <t>05-11-2009 00:00:00</t>
  </si>
  <si>
    <t>26373068</t>
  </si>
  <si>
    <t>ООО "Исток"</t>
  </si>
  <si>
    <t>4510024292</t>
  </si>
  <si>
    <t>23-01-2026 00:00:00</t>
  </si>
  <si>
    <t>28505847</t>
  </si>
  <si>
    <t>ООО "ПО Зауралье"</t>
  </si>
  <si>
    <t>4510021005</t>
  </si>
  <si>
    <t>30896196</t>
  </si>
  <si>
    <t>ООО "Петухово водоканал"</t>
  </si>
  <si>
    <t>4516010049</t>
  </si>
  <si>
    <t>23-05-2016 00:00:00</t>
  </si>
  <si>
    <t>01-08-2025 00:00:00</t>
  </si>
  <si>
    <t>26373014</t>
  </si>
  <si>
    <t>Общество с ограниченной ответственностью  «КАВЗ»</t>
  </si>
  <si>
    <t>4501103580</t>
  </si>
  <si>
    <t>19-06-2003 00:00:00</t>
  </si>
  <si>
    <t>26513576</t>
  </si>
  <si>
    <t>СПК "Белоярское"</t>
  </si>
  <si>
    <t>4506002761</t>
  </si>
  <si>
    <t>08-10-2002 00:00:00</t>
  </si>
  <si>
    <t>31368757</t>
  </si>
  <si>
    <t>МКУ "ГОРОДСКОЙ ЦЕНТР ПО БЛАГОУСТРОЙСТВУ"</t>
  </si>
  <si>
    <t>4509006637</t>
  </si>
  <si>
    <t>12-03-2025 00:00:00</t>
  </si>
  <si>
    <t>26546885</t>
  </si>
  <si>
    <t>МУП "Шуховский полигон ТБО"</t>
  </si>
  <si>
    <t>4501144681</t>
  </si>
  <si>
    <t>29-09-2008 00:00:00</t>
  </si>
  <si>
    <t>07-02-2025 00:00:00</t>
  </si>
  <si>
    <t>26757776</t>
  </si>
  <si>
    <t>ООО "ДалВторКом"</t>
  </si>
  <si>
    <t>4506009527</t>
  </si>
  <si>
    <t>09-12-2010 00:00:00</t>
  </si>
  <si>
    <t>26648758</t>
  </si>
  <si>
    <t>ООО "Дом-сервис плюс"</t>
  </si>
  <si>
    <t>4511009402</t>
  </si>
  <si>
    <t>31706469</t>
  </si>
  <si>
    <t>ООО "КОМПАНИЯ "ЭКОСИСТЕМА"</t>
  </si>
  <si>
    <t>6672256004</t>
  </si>
  <si>
    <t>17-12-2007 00:00:00</t>
  </si>
  <si>
    <t>31910001</t>
  </si>
  <si>
    <t>ООО "ПОЛИГОН 45"</t>
  </si>
  <si>
    <t>4500017120</t>
  </si>
  <si>
    <t>26648768</t>
  </si>
  <si>
    <t>ООО "Ремжилсервис"</t>
  </si>
  <si>
    <t>4509005584</t>
  </si>
  <si>
    <t>30988483</t>
  </si>
  <si>
    <t>ООО "Сток"</t>
  </si>
  <si>
    <t>4501167576</t>
  </si>
  <si>
    <t>12-05-2011 00:00:00</t>
  </si>
  <si>
    <t>11-03-2024 00:00:00</t>
  </si>
  <si>
    <t>31347423</t>
  </si>
  <si>
    <t>ООО "Чистый город"</t>
  </si>
  <si>
    <t>4501159310</t>
  </si>
  <si>
    <t>18-05-2010 00:00:00</t>
  </si>
  <si>
    <t>31697786</t>
  </si>
  <si>
    <t>ООО «ПТК»</t>
  </si>
  <si>
    <t>8602208138</t>
  </si>
  <si>
    <t>860201001</t>
  </si>
  <si>
    <t>31-10-2013 00:00:00</t>
  </si>
  <si>
    <t>NSRF</t>
  </si>
  <si>
    <t>MR_NAME</t>
  </si>
  <si>
    <t>OKTMO_MR_NAME</t>
  </si>
  <si>
    <t>MO_NAME</t>
  </si>
  <si>
    <t>OKTMO_NAME</t>
  </si>
  <si>
    <t>TYPE</t>
  </si>
  <si>
    <t>MR_ID</t>
  </si>
  <si>
    <t>Альменевский муниципальный округ</t>
  </si>
  <si>
    <t>37502000</t>
  </si>
  <si>
    <t>муниципальный округ</t>
  </si>
  <si>
    <t>Белозерский муниципальный округ</t>
  </si>
  <si>
    <t>37504000</t>
  </si>
  <si>
    <t>Варгашинский муниципальный округ</t>
  </si>
  <si>
    <t>37506000</t>
  </si>
  <si>
    <t>Варгашинский муниципальный район</t>
  </si>
  <si>
    <t>37606000</t>
  </si>
  <si>
    <t>муниципальный район</t>
  </si>
  <si>
    <t>Верхнесуерское</t>
  </si>
  <si>
    <t>37606413</t>
  </si>
  <si>
    <t>сельское поселение</t>
  </si>
  <si>
    <t>Мостовское</t>
  </si>
  <si>
    <t>37606430</t>
  </si>
  <si>
    <t>Поселок Варгаши</t>
  </si>
  <si>
    <t>37606151</t>
  </si>
  <si>
    <t>городское поселение, в состав которого входит поселок</t>
  </si>
  <si>
    <t>Шастовское</t>
  </si>
  <si>
    <t>37606477</t>
  </si>
  <si>
    <t>Южный сельсовет</t>
  </si>
  <si>
    <t>37606482</t>
  </si>
  <si>
    <t>Далматовский муниципальный округ</t>
  </si>
  <si>
    <t>37508000</t>
  </si>
  <si>
    <t>Далматовский муниципальный район</t>
  </si>
  <si>
    <t>37608000</t>
  </si>
  <si>
    <t>Белоярское</t>
  </si>
  <si>
    <t>37608404</t>
  </si>
  <si>
    <t>Верхнеярское</t>
  </si>
  <si>
    <t>37608408</t>
  </si>
  <si>
    <t>Вознесенское</t>
  </si>
  <si>
    <t>37608412</t>
  </si>
  <si>
    <t>Город Далматово</t>
  </si>
  <si>
    <t>37608101</t>
  </si>
  <si>
    <t>городское поселение, в состав которого входит город</t>
  </si>
  <si>
    <t>Затеченское</t>
  </si>
  <si>
    <t>37608415</t>
  </si>
  <si>
    <t>Ключевское</t>
  </si>
  <si>
    <t>37608420</t>
  </si>
  <si>
    <t>Крестовское</t>
  </si>
  <si>
    <t>37608426</t>
  </si>
  <si>
    <t>Кривское</t>
  </si>
  <si>
    <t>37608430</t>
  </si>
  <si>
    <t>Крутихинское</t>
  </si>
  <si>
    <t>37608434</t>
  </si>
  <si>
    <t>Лебяжское</t>
  </si>
  <si>
    <t>37608439</t>
  </si>
  <si>
    <t>Мясниковское</t>
  </si>
  <si>
    <t>37608446</t>
  </si>
  <si>
    <t>Нижнеярское</t>
  </si>
  <si>
    <t>37608450</t>
  </si>
  <si>
    <t>Новопетропавловское</t>
  </si>
  <si>
    <t>37608454</t>
  </si>
  <si>
    <t>Новосельское</t>
  </si>
  <si>
    <t>37608458</t>
  </si>
  <si>
    <t>Параткульское</t>
  </si>
  <si>
    <t>37608463</t>
  </si>
  <si>
    <t>Першинское</t>
  </si>
  <si>
    <t>37608467</t>
  </si>
  <si>
    <t>Песковское</t>
  </si>
  <si>
    <t>37608470</t>
  </si>
  <si>
    <t>Песчано-Колединское</t>
  </si>
  <si>
    <t>37608474</t>
  </si>
  <si>
    <t>Смирновское</t>
  </si>
  <si>
    <t>37608478</t>
  </si>
  <si>
    <t>Тамакульское</t>
  </si>
  <si>
    <t>37608482</t>
  </si>
  <si>
    <t>Уксянское</t>
  </si>
  <si>
    <t>37608485</t>
  </si>
  <si>
    <t>Уральцевское</t>
  </si>
  <si>
    <t>37608488</t>
  </si>
  <si>
    <t>Широковское</t>
  </si>
  <si>
    <t>37608491</t>
  </si>
  <si>
    <t>Звериноголовский муниципальный округ</t>
  </si>
  <si>
    <t>37509000</t>
  </si>
  <si>
    <t>Каргапольский муниципальный округ</t>
  </si>
  <si>
    <t>37510000</t>
  </si>
  <si>
    <t>Катайский муниципальный округ</t>
  </si>
  <si>
    <t>37512000</t>
  </si>
  <si>
    <t>Катайский муниципальный район</t>
  </si>
  <si>
    <t>37612000</t>
  </si>
  <si>
    <t>Большекасаргульское</t>
  </si>
  <si>
    <t>37612404</t>
  </si>
  <si>
    <t>Боровское</t>
  </si>
  <si>
    <t>37612408</t>
  </si>
  <si>
    <t>Верхнеключевское</t>
  </si>
  <si>
    <t>37612412</t>
  </si>
  <si>
    <t>Верхнепесковское</t>
  </si>
  <si>
    <t>37612416</t>
  </si>
  <si>
    <t>Верхнетеченское</t>
  </si>
  <si>
    <t>37612420</t>
  </si>
  <si>
    <t>Город Катайск</t>
  </si>
  <si>
    <t>37612101</t>
  </si>
  <si>
    <t>Ильинское</t>
  </si>
  <si>
    <t>37612428</t>
  </si>
  <si>
    <t>Никитинское</t>
  </si>
  <si>
    <t>37612440</t>
  </si>
  <si>
    <t>Петропавловское</t>
  </si>
  <si>
    <t>37612444</t>
  </si>
  <si>
    <t>Улугушское</t>
  </si>
  <si>
    <t>37612448</t>
  </si>
  <si>
    <t>Ушаковское</t>
  </si>
  <si>
    <t>37612452</t>
  </si>
  <si>
    <t>Шутинское</t>
  </si>
  <si>
    <t>37612456</t>
  </si>
  <si>
    <t>Шутихинское</t>
  </si>
  <si>
    <t>37612460</t>
  </si>
  <si>
    <t>Кетовский муниципальный округ</t>
  </si>
  <si>
    <t>37514000</t>
  </si>
  <si>
    <t>Куртамышский муниципальный округ</t>
  </si>
  <si>
    <t>37516000</t>
  </si>
  <si>
    <t>Лебяжьевский муниципальный округ</t>
  </si>
  <si>
    <t>37518000</t>
  </si>
  <si>
    <t>Макушинский муниципальный округ</t>
  </si>
  <si>
    <t>37520000</t>
  </si>
  <si>
    <t>Мишкинский муниципальный округ</t>
  </si>
  <si>
    <t>37522000</t>
  </si>
  <si>
    <t>Мокроусовский муниципальный округ</t>
  </si>
  <si>
    <t>37524000</t>
  </si>
  <si>
    <t>Петуховский муниципальный округ</t>
  </si>
  <si>
    <t>37526000</t>
  </si>
  <si>
    <t>Половинский муниципальный округ</t>
  </si>
  <si>
    <t>37528000</t>
  </si>
  <si>
    <t>Притобольный муниципальный округ</t>
  </si>
  <si>
    <t>37530000</t>
  </si>
  <si>
    <t>60</t>
  </si>
  <si>
    <t>Притобольный муниципальный район</t>
  </si>
  <si>
    <t>37630000</t>
  </si>
  <si>
    <t>Березовское</t>
  </si>
  <si>
    <t>37630404</t>
  </si>
  <si>
    <t>61</t>
  </si>
  <si>
    <t>Боровлянское</t>
  </si>
  <si>
    <t>37630408</t>
  </si>
  <si>
    <t>62</t>
  </si>
  <si>
    <t>Гладковское</t>
  </si>
  <si>
    <t>37630412</t>
  </si>
  <si>
    <t>63</t>
  </si>
  <si>
    <t>Глядянское</t>
  </si>
  <si>
    <t>37630416</t>
  </si>
  <si>
    <t>64</t>
  </si>
  <si>
    <t>Давыдовское</t>
  </si>
  <si>
    <t>37630420</t>
  </si>
  <si>
    <t>65</t>
  </si>
  <si>
    <t>Межборное</t>
  </si>
  <si>
    <t>37630433</t>
  </si>
  <si>
    <t>Нагорское</t>
  </si>
  <si>
    <t>37630434</t>
  </si>
  <si>
    <t>67</t>
  </si>
  <si>
    <t>Обуховское</t>
  </si>
  <si>
    <t>37630436</t>
  </si>
  <si>
    <t>Плотниковское</t>
  </si>
  <si>
    <t>37630444</t>
  </si>
  <si>
    <t>69</t>
  </si>
  <si>
    <t>70</t>
  </si>
  <si>
    <t>Раскатихинское</t>
  </si>
  <si>
    <t>37630450</t>
  </si>
  <si>
    <t>71</t>
  </si>
  <si>
    <t>Чернавское</t>
  </si>
  <si>
    <t>37630456</t>
  </si>
  <si>
    <t>72</t>
  </si>
  <si>
    <t>Ялымское</t>
  </si>
  <si>
    <t>37630460</t>
  </si>
  <si>
    <t>73</t>
  </si>
  <si>
    <t>Сафакулевский муниципальный округ</t>
  </si>
  <si>
    <t>37532000</t>
  </si>
  <si>
    <t>74</t>
  </si>
  <si>
    <t>Целинный муниципальный округ</t>
  </si>
  <si>
    <t>37534000</t>
  </si>
  <si>
    <t>75</t>
  </si>
  <si>
    <t>Частоозерский муниципальный округ</t>
  </si>
  <si>
    <t>37536000</t>
  </si>
  <si>
    <t>76</t>
  </si>
  <si>
    <t>Шатровский муниципальный округ</t>
  </si>
  <si>
    <t>37540000</t>
  </si>
  <si>
    <t>78</t>
  </si>
  <si>
    <t>Шумихинский муниципальный округ</t>
  </si>
  <si>
    <t>37542000</t>
  </si>
  <si>
    <t>79</t>
  </si>
  <si>
    <t>Щучанский муниципальный округ</t>
  </si>
  <si>
    <t>37544000</t>
  </si>
  <si>
    <t>80</t>
  </si>
  <si>
    <t>Юргамышский муниципальный округ</t>
  </si>
  <si>
    <t>37546000</t>
  </si>
  <si>
    <t>81</t>
  </si>
  <si>
    <t>городской округ</t>
  </si>
  <si>
    <t>NUMBER_POINT</t>
  </si>
  <si>
    <t>INVP_NAME</t>
  </si>
  <si>
    <t>INVP_ID</t>
  </si>
  <si>
    <t>L_START_DATE</t>
  </si>
  <si>
    <t>L_END_DATE</t>
  </si>
  <si>
    <t>L_DECISION_NAME</t>
  </si>
  <si>
    <t>L_DECISION_TYPE</t>
  </si>
  <si>
    <t>L_DECISION_NMBR</t>
  </si>
  <si>
    <t>L_DECISION_DATE</t>
  </si>
  <si>
    <t>Инвестиционная программа № 49-2 от 28.10.2022 ООО "КУРГАНСКИЕ ТЕПЛОЭНЕРГЕТИЧЕСКИЕ СИСТЕМЫ" в сфере теплоснабжения по модернизации и реконструкции котельных, на территории городского округа Курган на 2023-2024 годы</t>
  </si>
  <si>
    <t>01.01.2023</t>
  </si>
  <si>
    <t>31.12.2024</t>
  </si>
  <si>
    <t>Инвестиционная программа от 17.12.2025 ООО "ЭНЕРГОСЕРВИС" в сфере теплоснабжения по модернизации и реконструкции систем инженерной инфраструктуры, на территории муниципального округа Шумихинский на 2026-2036 годы</t>
  </si>
  <si>
    <t>01.01.2026</t>
  </si>
  <si>
    <t>31.12.2036</t>
  </si>
  <si>
    <t>Инвестиционная программа от 28.10.2022 ООО "КУРГАНСКИЕ ТЕПЛОЭНЕРГЕТИЧЕСКИЕ СИСТЕМЫ" в сфере теплоснабжения по реконструкции и модернизации существующих объектов котельных, на территории городского округа Курган на 2023-2028 годы</t>
  </si>
  <si>
    <t>31.12.2028</t>
  </si>
  <si>
    <t>Инвестиционная программа от 28.10.2022 ПАО "КГК" в сфере теплоснабжения по строительству, реконструкции и модернизации тепловых сетей и системы централизованного теплоснабжения, на территории городского округа Курган на 2023-2028 годы</t>
  </si>
  <si>
    <t>TER_NAME</t>
  </si>
  <si>
    <t>Территория 1</t>
  </si>
  <si>
    <t>ID_TARIFF_NAME</t>
  </si>
  <si>
    <t>TARIFF_NAME</t>
  </si>
  <si>
    <t>VED_NAME</t>
  </si>
  <si>
    <t>4190064</t>
  </si>
  <si>
    <t>4190065</t>
  </si>
  <si>
    <t>4190066</t>
  </si>
  <si>
    <t>4190067</t>
  </si>
  <si>
    <t>4190068</t>
  </si>
  <si>
    <t>4190069</t>
  </si>
  <si>
    <t>4190070</t>
  </si>
  <si>
    <t>4190071</t>
  </si>
  <si>
    <t>4190072</t>
  </si>
  <si>
    <t>4190073</t>
  </si>
  <si>
    <t>ID</t>
  </si>
  <si>
    <t>LINK_NAME</t>
  </si>
  <si>
    <t>https://portal.eias.ru/Portal/DownloadPage.aspx?type=12&amp;guid=????????-????-????-????-????????????</t>
  </si>
  <si>
    <t>ALL</t>
  </si>
  <si>
    <t>https://eias.fstrf.ru/disclo/get_file?p_guid=????????-????-????-????-????????????</t>
  </si>
  <si>
    <t>Форма</t>
  </si>
  <si>
    <t>Листы</t>
  </si>
  <si>
    <t>optOrganization</t>
  </si>
  <si>
    <t>optROiV</t>
  </si>
  <si>
    <t>optHEAT</t>
  </si>
  <si>
    <t>optCOLDVSNA</t>
  </si>
  <si>
    <t>optVOTV</t>
  </si>
  <si>
    <t>optHOTVSNA</t>
  </si>
  <si>
    <t>optTKO</t>
  </si>
  <si>
    <t>optORG</t>
  </si>
  <si>
    <t>optPRICE</t>
  </si>
  <si>
    <t>optBALANCE</t>
  </si>
  <si>
    <t>optQUARTER</t>
  </si>
  <si>
    <t>optINVEST</t>
  </si>
  <si>
    <t>optTERMS</t>
  </si>
  <si>
    <t>optREQUEST</t>
  </si>
  <si>
    <t>modSave</t>
  </si>
  <si>
    <t>Расчетные листы</t>
  </si>
  <si>
    <t>Скрытые листы</t>
  </si>
  <si>
    <t>Instruction</t>
  </si>
  <si>
    <t>DATA_FORMS</t>
  </si>
  <si>
    <t>modUpdTemplLogger</t>
  </si>
  <si>
    <t>DATA_NPA</t>
  </si>
  <si>
    <t>TITLE</t>
  </si>
  <si>
    <t>TEHSHEET</t>
  </si>
  <si>
    <t>TERRITORY</t>
  </si>
  <si>
    <t>TSH_et_union_hor</t>
  </si>
  <si>
    <t>DIFFERENTIATION</t>
  </si>
  <si>
    <t>modP_T_TERMS</t>
  </si>
  <si>
    <t>DIFFERENTIATION_TARIFF</t>
  </si>
  <si>
    <t>modMainProcedures</t>
  </si>
  <si>
    <t>DIFFERENTIATION_TKO</t>
  </si>
  <si>
    <t>modB_FHD</t>
  </si>
  <si>
    <t>ORG_INFO</t>
  </si>
  <si>
    <t>modB_FHD20</t>
  </si>
  <si>
    <t>ORG_VD</t>
  </si>
  <si>
    <t>modB_KNE</t>
  </si>
  <si>
    <t>ORG_VD_TKO</t>
  </si>
  <si>
    <t>modIP_MAIN</t>
  </si>
  <si>
    <t>ORG_TERRITORY</t>
  </si>
  <si>
    <t>modIP_QRE</t>
  </si>
  <si>
    <t>P_T_TERMS</t>
  </si>
  <si>
    <t>modIP_DETAILED</t>
  </si>
  <si>
    <t>TARIFF_A</t>
  </si>
  <si>
    <t>TSH_et_union_vert</t>
  </si>
  <si>
    <t>TARIFF_B</t>
  </si>
  <si>
    <t>modROIV</t>
  </si>
  <si>
    <t>TARIFF_F</t>
  </si>
  <si>
    <t>modDIFFERENTIATION_TKO</t>
  </si>
  <si>
    <t>TARIFF_C</t>
  </si>
  <si>
    <t>modTARIFF_HEAT</t>
  </si>
  <si>
    <t>TARIFF_E1</t>
  </si>
  <si>
    <t>modTARIFF_COLDVSNA</t>
  </si>
  <si>
    <t>TARIFF_E2</t>
  </si>
  <si>
    <t>modIP_FIN_PLAN</t>
  </si>
  <si>
    <t>TARIFF_D</t>
  </si>
  <si>
    <t>REESTR_IP</t>
  </si>
  <si>
    <t>TARIFF_G</t>
  </si>
  <si>
    <t>modfrmListIP</t>
  </si>
  <si>
    <t>Лист5</t>
  </si>
  <si>
    <t>modfrmActivity</t>
  </si>
  <si>
    <t>Лист6</t>
  </si>
  <si>
    <t>REESTR_DS</t>
  </si>
  <si>
    <t>Лист7</t>
  </si>
  <si>
    <t>REESTR_VED</t>
  </si>
  <si>
    <t>Лист14</t>
  </si>
  <si>
    <t>TSH_REESTR_MO</t>
  </si>
  <si>
    <t>P_PROCEDURE_TC</t>
  </si>
  <si>
    <t>TSH_REESTR_MO_FILTER</t>
  </si>
  <si>
    <t>R_B_Purch</t>
  </si>
  <si>
    <t>REESTR_LINK</t>
  </si>
  <si>
    <t>Q_PH</t>
  </si>
  <si>
    <t>modDIFFERENTIATION_TARIFF</t>
  </si>
  <si>
    <t>Q_TP</t>
  </si>
  <si>
    <t>modDIFFERENTIATION</t>
  </si>
  <si>
    <t>Q_LIMIT</t>
  </si>
  <si>
    <t>modTERRITORY</t>
  </si>
  <si>
    <t>R_Offer</t>
  </si>
  <si>
    <t>modQ_PH</t>
  </si>
  <si>
    <t>TARIFF_A_COLDVSNA</t>
  </si>
  <si>
    <t>modORG_INFO</t>
  </si>
  <si>
    <t>TARIFF_B_COLDVSNA</t>
  </si>
  <si>
    <t>modORG_VD</t>
  </si>
  <si>
    <t>TARIFF_C_COLDVSNA</t>
  </si>
  <si>
    <t>modORG_TERRITORY</t>
  </si>
  <si>
    <t>TARIFF_D_COLDVSNA</t>
  </si>
  <si>
    <t>modfrmSelectTerritory</t>
  </si>
  <si>
    <t>TARIFF_E_COLDVSNA</t>
  </si>
  <si>
    <t>modQ_TP</t>
  </si>
  <si>
    <t>B_FHD</t>
  </si>
  <si>
    <t>modQ_LIMIT</t>
  </si>
  <si>
    <t>B_FHD20</t>
  </si>
  <si>
    <t>modListTempFilter</t>
  </si>
  <si>
    <t>B_FHD_TKO</t>
  </si>
  <si>
    <t>modCheckCyan</t>
  </si>
  <si>
    <t>B_FHD_TKO_TRANS</t>
  </si>
  <si>
    <t>modHTTP</t>
  </si>
  <si>
    <t>B_KNE</t>
  </si>
  <si>
    <t>modfrmRezimChoose</t>
  </si>
  <si>
    <t>IP_MAIN</t>
  </si>
  <si>
    <t>modSheetMain</t>
  </si>
  <si>
    <t>IP_DETAILED</t>
  </si>
  <si>
    <t>REESTR_VT</t>
  </si>
  <si>
    <t>IP_FIN_PLAN</t>
  </si>
  <si>
    <t>modfrmReportMode</t>
  </si>
  <si>
    <t>IP_QRE</t>
  </si>
  <si>
    <t>modfrmReestrObj</t>
  </si>
  <si>
    <t>TARIFF_A_HOTVSNA</t>
  </si>
  <si>
    <t>AllSheetsInThisWorkbook</t>
  </si>
  <si>
    <t>TARIFF_B_HOTVSNA</t>
  </si>
  <si>
    <t>modInstruction</t>
  </si>
  <si>
    <t>TARIFF_C_HOTVSNA</t>
  </si>
  <si>
    <t>modRegion</t>
  </si>
  <si>
    <t>TARIFF_A_VOTV</t>
  </si>
  <si>
    <t>modReestr</t>
  </si>
  <si>
    <t>TARIFF_B_VOTV</t>
  </si>
  <si>
    <t>modfrmReestr</t>
  </si>
  <si>
    <t>TARIFF_C_VOTV</t>
  </si>
  <si>
    <t>modUpdTemplMain</t>
  </si>
  <si>
    <t>ED</t>
  </si>
  <si>
    <t>TSH_REESTR_ORG</t>
  </si>
  <si>
    <t>CHANGE_INFO</t>
  </si>
  <si>
    <t>modClassifierValidate</t>
  </si>
  <si>
    <t>ListComm</t>
  </si>
  <si>
    <t>modCHECK</t>
  </si>
  <si>
    <t>CHECK</t>
  </si>
  <si>
    <t>modHyp</t>
  </si>
  <si>
    <t>ROIV_INFO</t>
  </si>
  <si>
    <t>modServiceModule</t>
  </si>
  <si>
    <t>ROIV_ORG</t>
  </si>
  <si>
    <t>modInfo</t>
  </si>
  <si>
    <t>ROIV_CASE</t>
  </si>
  <si>
    <t>modTITLE</t>
  </si>
  <si>
    <t>ROIV_OTV</t>
  </si>
  <si>
    <t>modList02</t>
  </si>
  <si>
    <t>Лист1</t>
  </si>
  <si>
    <t>modED</t>
  </si>
  <si>
    <t>modList05</t>
  </si>
  <si>
    <t>modList06</t>
  </si>
  <si>
    <t>modCHANGE_INFO</t>
  </si>
  <si>
    <t>modList11</t>
  </si>
  <si>
    <t>modList12</t>
  </si>
  <si>
    <t>modfrmDateChoose</t>
  </si>
  <si>
    <t>modComm</t>
  </si>
  <si>
    <t>modThisWorkbook</t>
  </si>
  <si>
    <t>modfrmReestrMR</t>
  </si>
  <si>
    <t>modfrmCheckUpdates</t>
  </si>
  <si>
    <t>Титульный</t>
  </si>
  <si>
    <t>Для выбора того или иного источника публикации выполните двойной щелчок по синей ячейке напротив соответствующего источника._x000D_
ВНИМАНИЕ! Если Вы снимаете галочку с пункта, то будут скрыты и очищены соответствующие строки на листе "Форма 1.0.2"!_x000D_
_x000D_
Опубликование перечисленных в шаблоне показателей на сайте организации в сети Интернет и в печатных изданиях не обязательно, если данный шаблон предоставлен по системе ЕИАС (региональный сегмент).</t>
  </si>
  <si>
    <t>Обязательное опубликование на официальном сайте органа исполнительной власти субъекта Российской Федерации в области государственного регулирования цен (тарифов), и (или) на официальном сайте органа местного самоуправления поселения или городского округа в случае их наделения в соответствии с законом субъекта Российской Федерации полномочиями по государственному регулированию цен (тарифов)предусмотрено пунктом 3 (а) постановления Правительства №6 от 17.01.2013г.</t>
  </si>
  <si>
    <t>Задайте период регулирования, выбрав даты начала и окончания периода регулирования из календаря (иконка справа от указанной ячейки), либо введите дату непосредственно в ячейку в формате - 'ДД.ММ.ГГГГ'</t>
  </si>
  <si>
    <t>Шаблон заполняется раздельно по каждому виду тарифа</t>
  </si>
  <si>
    <t>В зависимости от указанного вида деятельности будут доступны для заполнения поля 'Производство', 'Передача' и 'Сбыт'</t>
  </si>
  <si>
    <t>Если выбрано 'да', на листах с разбивкой по потребителям доступны для заполнения графы для двухставочного ставочного тарифа по группам потребителей</t>
  </si>
  <si>
    <t>Если выбрано 'да', значения тарифов для групп потребителей на листах с разбивкой по потребителям заполнятся автоматически значениями первой группы</t>
  </si>
  <si>
    <t>Если выбрано значение «да» - в шаблоне будет сформирован лист «Форма 1.0.2» для уведомления органа регулирования о публикации информации в печатных изданиях</t>
  </si>
  <si>
    <t xml:space="preserve">По умолчанию установлено значение «первичное раскрытие информации» Это означает, что информация раскрывается в соответствии с установленными сроком и периодичностью. В случае если в уже отправленном шаблоне обнаружена ошибка или произошло изменение информации, исправленный шаблон необходимо отправить с типом отчета «изменения в раскрытой ранее информации». </t>
  </si>
  <si>
    <t>Укажите является ли данное юридическое лицо подразделением(филиалом) другой организации</t>
  </si>
  <si>
    <t>Ссылки на публикации</t>
  </si>
  <si>
    <t>Вводите адрес сайта, не нарушая цвет ячейки /если копируете гиперссылку из браузера, то выполните двойной щелчок по ячейке и только после этого можете вставить скопированный элемент/</t>
  </si>
  <si>
    <t>Обосновывающие материалы необходимо загружать с помощью "ЕИАС Мониторинг". Ссылка на инструкцию по загрузке обосновывающих материалов расположена на листе 'Инструкция' в п.'Методология заполнения'._x000D_
_x000D_
Ввводите ссылку, не нарушая цвет ячейки /если копируете гиперссылку из браузера, то выполните двойной щелчок по ячейке и только после этого можете вставить скопированный элемент/.</t>
  </si>
  <si>
    <t>Если для какого-либо пункта графы 'Наименование источника (сайта или печатного издания)' информация не раскрывалась, то в соответствующем поле укажите - 'не раскрывалась'</t>
  </si>
  <si>
    <t>Список МО</t>
  </si>
  <si>
    <t>В случае, если тариф не дифференцируется по системам теплоснабжения, перечислите все муниципальные районы, в которых организация осуществляет услуги теплоснабжения и сфере оказания услуг по передаче тепловой энергии</t>
  </si>
  <si>
    <t>В случае, если тариф не дифференцируется по системам теплоснабжения, перечислите все муниципальные образования, в которых организация осуществляет услуги теплоснабжения и сфере оказания услуг по передаче тепловой энергии</t>
  </si>
  <si>
    <t>Признак дифференциации тарифа</t>
  </si>
  <si>
    <t>В случае, если тариф не дифференцируется по системам теплоснабжения, укажите "1"._x000D_
Введите значение от 1 до 100, чтобы указать очередной условный порядковый номер системы теплоснабжения</t>
  </si>
  <si>
    <t>Стандарты</t>
  </si>
  <si>
    <t>В качестве примечания Вы можете указать единицу измерения</t>
  </si>
  <si>
    <t>Для корректного формирования Таблицы 25 Формы 1.10 необходимо задать разбивку по диаметрам и способу прокладки тепловых сетей</t>
  </si>
  <si>
    <t>Перечень тарифов</t>
  </si>
  <si>
    <t>Укажите «Да» в поле «Да/Нет», если дифференциация используется._x000D_
В поле «Описание» указывается наименование территории действия тарифа при наличии дифференциации тарифа по территориальному признаку._x000D_
В случае дифференциации тарифов по территориальному признаку информация по ним указывается в отдельных строках.</t>
  </si>
  <si>
    <t>Признаки дифференциации указываются в соответствии с п.6 ст.32 ФЗ РФ от 07.12.2011 №416-ФЗ</t>
  </si>
  <si>
    <t>Укажите «Да» в поле «Да/Нет», если дифференциация используется. В поле «Описание» укажите название ЦС ГВС или любое другое описание</t>
  </si>
  <si>
    <t>Территории</t>
  </si>
  <si>
    <t>Наименование территории действия тарифа для целей идентификации</t>
  </si>
  <si>
    <t>Муниципальные районы и муниципальные образования, на территории которых действует тариф</t>
  </si>
  <si>
    <t>Инструкция</t>
  </si>
  <si>
    <t>Нет доступных обновлений, версия отчёта актуальна</t>
  </si>
</sst>
</file>

<file path=xl/styles.xml><?xml version="1.0" encoding="utf-8"?>
<styleSheet xmlns="http://schemas.openxmlformats.org/spreadsheetml/2006/main" xmlns:mc="http://schemas.openxmlformats.org/markup-compatibility/2006" xmlns:x14ac="http://schemas.microsoft.com/office/spreadsheetml/2009/9/ac" mc:Ignorable="x14ac">
  <numFmts count="11">
    <numFmt numFmtId="171" formatCode="_-* #,##0.00\ _₽_-;\-* #,##0.00\ _₽_-;_-* &quot;-&quot;??\ _₽_-;_-@_-"/>
    <numFmt numFmtId="172" formatCode="_-* #,##0\ _₽_-;\-* #,##0\ _₽_-;_-* &quot;-&quot;\ _₽_-;_-@_-"/>
    <numFmt numFmtId="173" formatCode="_-* #,##0.00\ &quot;₽&quot;_-;\-* #,##0.00\ &quot;₽&quot;_-;_-* &quot;-&quot;??\ &quot;₽&quot;_-;_-@_-"/>
    <numFmt numFmtId="174" formatCode="_-* #,##0\ &quot;₽&quot;_-;\-* #,##0\ &quot;₽&quot;_-;_-* &quot;-&quot;\ &quot;₽&quot;_-;_-@_-"/>
    <numFmt numFmtId="175" formatCode="_-* #,##0.00[$€-1]_-;\-* #,##0.00[$€-1]_-;_-* &quot;-&quot;??[$€-1]_-"/>
    <numFmt numFmtId="176" formatCode="#,##0.0"/>
    <numFmt numFmtId="177" formatCode="#,##0.000"/>
    <numFmt numFmtId="178" formatCode="#,##0.0000"/>
    <numFmt numFmtId="179" formatCode="dd\.mm\.yyyy"/>
    <numFmt numFmtId="180" formatCode="000000"/>
    <numFmt numFmtId="181" formatCode="h:mm;@"/>
  </numFmts>
  <fonts count="128">
    <font>
      <sz val="9"/>
      <color rgb="FF000000"/>
      <name val="Tahoma"/>
    </font>
    <font>
      <sz val="11"/>
      <color theme="1"/>
      <name val="Calibri"/>
      <scheme val="minor"/>
    </font>
    <font>
      <sz val="11"/>
      <color theme="0"/>
      <name val="Calibri"/>
      <scheme val="minor"/>
    </font>
    <font>
      <sz val="11"/>
      <color rgb="FF9C0006"/>
      <name val="Calibri"/>
      <scheme val="minor"/>
    </font>
    <font>
      <b/>
      <sz val="11"/>
      <color rgb="FFFA7D00"/>
      <name val="Calibri"/>
      <scheme val="minor"/>
    </font>
    <font>
      <b/>
      <sz val="11"/>
      <color theme="0"/>
      <name val="Calibri"/>
      <scheme val="minor"/>
    </font>
    <font>
      <sz val="11"/>
      <color indexed="0"/>
      <name val="Calibri"/>
      <family val="2"/>
    </font>
    <font>
      <i/>
      <sz val="11"/>
      <color rgb="FF7F7F7F"/>
      <name val="Calibri"/>
      <scheme val="minor"/>
    </font>
    <font>
      <sz val="11"/>
      <color rgb="FF006100"/>
      <name val="Calibri"/>
      <scheme val="minor"/>
    </font>
    <font>
      <b/>
      <sz val="15"/>
      <color theme="3"/>
      <name val="Calibri"/>
      <scheme val="minor"/>
    </font>
    <font>
      <b/>
      <sz val="13"/>
      <color theme="3"/>
      <name val="Calibri"/>
      <scheme val="minor"/>
    </font>
    <font>
      <b/>
      <sz val="11"/>
      <color theme="3"/>
      <name val="Calibri"/>
      <scheme val="minor"/>
    </font>
    <font>
      <sz val="11"/>
      <color rgb="FF3F3F76"/>
      <name val="Calibri"/>
      <scheme val="minor"/>
    </font>
    <font>
      <sz val="11"/>
      <color rgb="FFFA7D00"/>
      <name val="Calibri"/>
      <scheme val="minor"/>
    </font>
    <font>
      <sz val="11"/>
      <color rgb="FF9C5700"/>
      <name val="Calibri"/>
      <scheme val="minor"/>
    </font>
    <font>
      <sz val="12"/>
      <color auto="1"/>
      <name val="Arial"/>
    </font>
    <font>
      <b/>
      <sz val="11"/>
      <color rgb="FF3F3F3F"/>
      <name val="Calibri"/>
      <scheme val="minor"/>
    </font>
    <font>
      <sz val="18"/>
      <color theme="3"/>
      <name val="Cambria"/>
      <scheme val="major"/>
    </font>
    <font>
      <b/>
      <sz val="11"/>
      <color theme="1"/>
      <name val="Calibri"/>
      <scheme val="minor"/>
    </font>
    <font>
      <sz val="11"/>
      <color rgb="FFFF0000"/>
      <name val="Calibri"/>
      <scheme val="minor"/>
    </font>
    <font>
      <sz val="10"/>
      <color auto="1"/>
      <name val="Helv"/>
    </font>
    <font>
      <sz val="8"/>
      <color auto="1"/>
      <name val="Arial"/>
    </font>
    <font>
      <sz val="9"/>
      <color auto="1"/>
      <name val="Tahoma"/>
    </font>
    <font>
      <sz val="8"/>
      <color auto="1"/>
      <name val="Palatino"/>
    </font>
    <font>
      <u/>
      <sz val="10"/>
      <color rgb="FF800080"/>
      <name val="Arial Cyr"/>
    </font>
    <font>
      <u/>
      <sz val="10"/>
      <color rgb="FF0000FF"/>
      <name val="Arial Cyr"/>
    </font>
    <font>
      <sz val="8"/>
      <color auto="1"/>
      <name val="Helv"/>
    </font>
    <font>
      <u/>
      <sz val="9"/>
      <color theme="10"/>
      <name val="Tahoma"/>
    </font>
    <font>
      <sz val="10"/>
      <color auto="1"/>
      <name val="Arial"/>
    </font>
    <font>
      <sz val="10"/>
      <color auto="1"/>
      <name val="Arial Cyr"/>
    </font>
    <font>
      <u/>
      <sz val="9"/>
      <color theme="11"/>
      <name val="Tahoma"/>
    </font>
    <font>
      <sz val="9"/>
      <color rgb="FFFFFFFF"/>
      <name val="Tahoma"/>
    </font>
    <font>
      <sz val="9"/>
      <color rgb="FFCC0000"/>
      <name val="Tahoma"/>
    </font>
    <font>
      <sz val="16"/>
      <color auto="1"/>
      <name val="Tahoma"/>
    </font>
    <font>
      <sz val="16"/>
      <color rgb="FFFFFFFF"/>
      <name val="Tahoma"/>
    </font>
    <font>
      <sz val="9"/>
      <color rgb="FFBCBCBC"/>
      <name val="Tahoma"/>
    </font>
    <font>
      <sz val="11"/>
      <color rgb="FFBCBCBC"/>
      <name val="Wingdings 2"/>
    </font>
    <font>
      <b/>
      <u/>
      <sz val="9"/>
      <color auto="1"/>
      <name val="Tahoma"/>
    </font>
    <font>
      <sz val="11"/>
      <color auto="1"/>
      <name val="Webdings2"/>
    </font>
    <font>
      <sz val="9"/>
      <color rgb="FF000080"/>
      <name val="Tahoma"/>
    </font>
    <font>
      <b/>
      <sz val="11"/>
      <color rgb="FF000000"/>
      <name val="Calibri"/>
    </font>
    <font>
      <sz val="11"/>
      <color auto="1"/>
      <name val="Wingdings 2"/>
    </font>
    <font>
      <b/>
      <sz val="9"/>
      <color rgb="FFFFFFFF"/>
      <name val="Tahoma"/>
    </font>
    <font>
      <b/>
      <u/>
      <sz val="9"/>
      <color rgb="FF000080"/>
      <name val="Tahoma"/>
    </font>
    <font>
      <sz val="8"/>
      <color auto="1"/>
      <name val="Tahoma"/>
    </font>
    <font>
      <sz val="10"/>
      <color auto="1"/>
      <name val="Tahoma"/>
    </font>
    <font>
      <sz val="9"/>
      <color theme="0"/>
      <name val="Tahoma"/>
    </font>
    <font>
      <sz val="1"/>
      <color theme="0"/>
      <name val="Tahoma"/>
    </font>
    <font>
      <b/>
      <sz val="1"/>
      <color theme="0"/>
      <name val="Calibri"/>
    </font>
    <font>
      <b/>
      <sz val="9"/>
      <color auto="1"/>
      <name val="Tahoma"/>
    </font>
    <font>
      <sz val="8"/>
      <color rgb="FFBCBCBC"/>
      <name val="Tahoma"/>
    </font>
    <font>
      <sz val="12"/>
      <color rgb="FF000000"/>
      <name val="Tahoma"/>
    </font>
    <font>
      <sz val="11"/>
      <color rgb="FF000000"/>
      <name val="Calibri"/>
    </font>
    <font>
      <u/>
      <sz val="9"/>
      <color rgb="FF333399"/>
      <name val="Tahoma"/>
    </font>
    <font>
      <sz val="9"/>
      <color rgb="FFFF0000"/>
      <name val="Tahoma"/>
    </font>
    <font>
      <sz val="5"/>
      <color rgb="FFFF0000"/>
      <name val="Tahoma"/>
    </font>
    <font>
      <sz val="11"/>
      <color theme="0"/>
      <name val="Wingdings 2"/>
    </font>
    <font>
      <sz val="5"/>
      <color theme="0"/>
      <name val="Tahoma"/>
    </font>
    <font>
      <sz val="3"/>
      <color rgb="FFFFFFFF"/>
      <name val="Tahoma"/>
    </font>
    <font>
      <sz val="3"/>
      <color rgb="FFCC0000"/>
      <name val="Tahoma"/>
    </font>
    <font>
      <sz val="3"/>
      <color auto="1"/>
      <name val="Tahoma"/>
    </font>
    <font>
      <sz val="3"/>
      <color rgb="FF000000"/>
      <name val="Tahoma"/>
    </font>
    <font>
      <sz val="3"/>
      <color rgb="FF993300"/>
      <name val="Tahoma"/>
    </font>
    <font>
      <sz val="1"/>
      <color rgb="FFFFFFFF"/>
      <name val="Tahoma"/>
    </font>
    <font>
      <sz val="18"/>
      <color auto="1"/>
      <name val="Tahoma"/>
    </font>
    <font>
      <sz val="18"/>
      <color rgb="FF000000"/>
      <name val="Tahoma"/>
    </font>
    <font>
      <sz val="11"/>
      <color rgb="FF000000"/>
      <name val="Tahoma"/>
    </font>
    <font>
      <sz val="1"/>
      <color rgb="FF000000"/>
      <name val="Tahoma"/>
    </font>
    <font>
      <sz val="15"/>
      <color rgb="FF000000"/>
      <name val="Tahoma"/>
    </font>
    <font>
      <sz val="11"/>
      <color theme="0"/>
      <name val="Webdings2"/>
    </font>
    <font>
      <u/>
      <sz val="1"/>
      <color rgb="FF333399"/>
      <name val="Tahoma"/>
    </font>
    <font>
      <sz val="15"/>
      <color auto="1"/>
      <name val="Tahoma"/>
    </font>
    <font>
      <sz val="1"/>
      <color auto="1"/>
      <name val="Tahoma"/>
    </font>
    <font>
      <b/>
      <sz val="9"/>
      <color rgb="FF000080"/>
      <name val="Tahoma"/>
    </font>
    <font>
      <sz val="12"/>
      <color theme="0"/>
      <name val="Tahoma"/>
    </font>
    <font>
      <sz val="9"/>
      <color theme="1"/>
      <name val="Tahoma"/>
    </font>
    <font>
      <sz val="9"/>
      <color rgb="FF0066CC"/>
      <name val="Tahoma"/>
    </font>
    <font>
      <b/>
      <sz val="10"/>
      <color theme="1"/>
      <name val="Tahoma"/>
    </font>
    <font>
      <sz val="10"/>
      <color theme="1"/>
      <name val="Tahoma"/>
    </font>
    <font>
      <sz val="3"/>
      <color rgb="FFBCBCBC"/>
      <name val="Tahoma"/>
    </font>
    <font>
      <sz val="1"/>
      <color rgb="FFBCBCBC"/>
      <name val="Tahoma"/>
    </font>
    <font>
      <sz val="12"/>
      <color auto="1"/>
      <name val="Marlett"/>
    </font>
    <font>
      <sz val="9"/>
      <color rgb="FFBCBCBC"/>
      <name val="Wingdings 2"/>
    </font>
    <font>
      <sz val="12"/>
      <color auto="1"/>
      <name val="Tahoma"/>
    </font>
    <font>
      <sz val="15"/>
      <color theme="0"/>
      <name val="Tahoma"/>
    </font>
    <font>
      <sz val="1"/>
      <color rgb="FFFF0000"/>
      <name val="Tahoma"/>
    </font>
    <font>
      <b/>
      <sz val="11"/>
      <color theme="0"/>
      <name val="Calibri"/>
    </font>
    <font>
      <sz val="11"/>
      <color theme="0"/>
      <name val="Tahoma"/>
    </font>
    <font>
      <sz val="3"/>
      <color theme="0"/>
      <name val="Tahoma"/>
    </font>
    <font>
      <b/>
      <sz val="3"/>
      <color auto="1"/>
      <name val="Tahoma"/>
    </font>
    <font>
      <b/>
      <sz val="9"/>
      <color rgb="FF0070C0"/>
      <name val="Tahoma"/>
    </font>
    <font>
      <sz val="7"/>
      <color auto="1"/>
      <name val="Tahoma"/>
    </font>
    <font>
      <sz val="7"/>
      <color rgb="FFFFFFFF"/>
      <name val="Tahoma"/>
    </font>
    <font>
      <sz val="7"/>
      <color theme="0" tint="-0.5"/>
      <name val="Tahoma"/>
    </font>
    <font>
      <sz val="8"/>
      <color theme="0"/>
      <name val="Tahoma"/>
    </font>
    <font>
      <sz val="7"/>
      <color rgb="FF000000"/>
      <name val="Tahoma"/>
    </font>
    <font>
      <b/>
      <sz val="9"/>
      <color theme="0"/>
      <name val="Tahoma"/>
    </font>
    <font>
      <b/>
      <sz val="1"/>
      <color theme="0"/>
      <name val="Tahoma"/>
    </font>
    <font>
      <sz val="19"/>
      <color theme="0"/>
      <name val="Tahoma"/>
    </font>
    <font>
      <sz val="8"/>
      <color rgb="FFFFFFFF"/>
      <name val="Tahoma"/>
    </font>
    <font>
      <b/>
      <sz val="1"/>
      <color auto="1"/>
      <name val="Tahoma"/>
    </font>
    <font>
      <b/>
      <sz val="1"/>
      <color rgb="FF000080"/>
      <name val="Tahoma"/>
    </font>
    <font>
      <b/>
      <sz val="10"/>
      <color auto="1"/>
      <name val="Tahoma"/>
    </font>
    <font>
      <b/>
      <sz val="9"/>
      <color rgb="FF000000"/>
      <name val="Tahoma"/>
    </font>
    <font>
      <sz val="10"/>
      <color rgb="FF000000"/>
      <name val="Arial"/>
    </font>
    <font>
      <sz val="8"/>
      <color rgb="FF000080"/>
      <name val="Tahoma"/>
    </font>
    <font>
      <sz val="1"/>
      <color auto="1"/>
      <name val="Webdings2"/>
    </font>
    <font>
      <sz val="1"/>
      <color theme="0"/>
      <name val="Webdings2"/>
    </font>
    <font>
      <b/>
      <sz val="9"/>
      <color auto="1"/>
      <name val="Calibri"/>
    </font>
    <font>
      <sz val="1"/>
      <color rgb="FF000080"/>
      <name val="Tahoma"/>
    </font>
    <font>
      <sz val="9"/>
      <color theme="0"/>
      <name val="Webdings2"/>
    </font>
    <font>
      <sz val="1"/>
      <color theme="0"/>
      <name val="Wingdings 2"/>
    </font>
    <font>
      <sz val="18"/>
      <color theme="0"/>
      <name val="Tahoma"/>
    </font>
    <font>
      <sz val="9"/>
      <color auto="1"/>
      <name val="Wingdings 2"/>
    </font>
    <font>
      <sz val="9"/>
      <color rgb="FFFFFFFF"/>
      <name val="Wingdings 2"/>
    </font>
    <font>
      <b/>
      <u/>
      <sz val="11"/>
      <color rgb="FF0000FF"/>
      <name val="Tahoma"/>
    </font>
    <font>
      <sz val="11"/>
      <color rgb="FFFFFFFF"/>
      <name val="Tahoma"/>
    </font>
    <font>
      <u/>
      <sz val="20"/>
      <color rgb="FF003366"/>
      <name val="Tahoma"/>
    </font>
    <font>
      <b/>
      <sz val="10"/>
      <color rgb="FF000000"/>
      <name val="Tahoma"/>
    </font>
    <font>
      <sz val="11"/>
      <color rgb="FF000000"/>
      <name val="Marlett"/>
    </font>
    <font>
      <sz val="10"/>
      <color rgb="FF000000"/>
      <name val="Tahoma"/>
    </font>
    <font>
      <sz val="14"/>
      <color rgb="FFBCBCBC"/>
      <name val="Calibri"/>
    </font>
    <font>
      <sz val="9"/>
      <color rgb="FF333399"/>
      <name val="Tahoma"/>
    </font>
    <font>
      <b/>
      <sz val="8"/>
      <color rgb="FFC0C0C0"/>
      <name val="Wingdings 2"/>
    </font>
    <font>
      <u/>
      <sz val="9"/>
      <color rgb="FF000080"/>
      <name val="Tahoma"/>
    </font>
    <font>
      <b/>
      <sz val="8"/>
      <color theme="0"/>
      <name val="Wingdings 2"/>
    </font>
    <font>
      <b/>
      <sz val="9"/>
      <color rgb="FFCC0000"/>
      <name val="Tahoma"/>
    </font>
    <font>
      <u/>
      <sz val="9"/>
      <color auto="1"/>
      <name val="Tahoma"/>
    </font>
  </fonts>
  <fills count="58">
    <fill>
      <patternFill patternType="none"/>
    </fill>
    <fill>
      <patternFill patternType="gray125"/>
    </fill>
    <fill>
      <patternFill patternType="solid">
        <fgColor theme="4" tint="0.8"/>
      </patternFill>
    </fill>
    <fill>
      <patternFill patternType="solid">
        <fgColor theme="5" tint="0.8"/>
      </patternFill>
    </fill>
    <fill>
      <patternFill patternType="solid">
        <fgColor theme="6" tint="0.8"/>
      </patternFill>
    </fill>
    <fill>
      <patternFill patternType="solid">
        <fgColor theme="7" tint="0.8"/>
      </patternFill>
    </fill>
    <fill>
      <patternFill patternType="solid">
        <fgColor theme="8" tint="0.8"/>
      </patternFill>
    </fill>
    <fill>
      <patternFill patternType="solid">
        <fgColor theme="9" tint="0.8"/>
      </patternFill>
    </fill>
    <fill>
      <patternFill patternType="solid">
        <fgColor theme="4" tint="0.6"/>
      </patternFill>
    </fill>
    <fill>
      <patternFill patternType="solid">
        <fgColor theme="5" tint="0.6"/>
      </patternFill>
    </fill>
    <fill>
      <patternFill patternType="solid">
        <fgColor theme="6" tint="0.6"/>
      </patternFill>
    </fill>
    <fill>
      <patternFill patternType="solid">
        <fgColor theme="7" tint="0.6"/>
      </patternFill>
    </fill>
    <fill>
      <patternFill patternType="solid">
        <fgColor theme="8" tint="0.6"/>
      </patternFill>
    </fill>
    <fill>
      <patternFill patternType="solid">
        <fgColor theme="9" tint="0.6"/>
      </patternFill>
    </fill>
    <fill>
      <patternFill patternType="solid">
        <fgColor theme="4" tint="0.4"/>
      </patternFill>
    </fill>
    <fill>
      <patternFill patternType="solid">
        <fgColor theme="5" tint="0.4"/>
      </patternFill>
    </fill>
    <fill>
      <patternFill patternType="solid">
        <fgColor theme="6" tint="0.4"/>
      </patternFill>
    </fill>
    <fill>
      <patternFill patternType="solid">
        <fgColor theme="7" tint="0.4"/>
      </patternFill>
    </fill>
    <fill>
      <patternFill patternType="solid">
        <fgColor theme="8" tint="0.4"/>
      </patternFill>
    </fill>
    <fill>
      <patternFill patternType="solid">
        <fgColor theme="9" tint="0.4"/>
      </patternFill>
    </fill>
    <fill>
      <patternFill patternType="solid">
        <fgColor theme="4"/>
      </patternFill>
    </fill>
    <fill>
      <patternFill patternType="solid">
        <fgColor theme="5"/>
      </patternFill>
    </fill>
    <fill>
      <patternFill patternType="solid">
        <fgColor theme="6"/>
      </patternFill>
    </fill>
    <fill>
      <patternFill patternType="solid">
        <fgColor theme="7"/>
      </patternFill>
    </fill>
    <fill>
      <patternFill patternType="solid">
        <fgColor theme="8"/>
      </patternFill>
    </fill>
    <fill>
      <patternFill patternType="solid">
        <fgColor theme="9"/>
      </patternFill>
    </fill>
    <fill>
      <patternFill patternType="solid">
        <fgColor rgb="FFFFC7CE"/>
      </patternFill>
    </fill>
    <fill>
      <patternFill patternType="solid">
        <fgColor rgb="FFF2F2F2"/>
      </patternFill>
    </fill>
    <fill>
      <patternFill patternType="solid">
        <fgColor rgb="FFA5A5A5"/>
      </patternFill>
    </fill>
    <fill>
      <patternFill patternType="solid">
        <fgColor rgb="FFC6EFCE"/>
      </patternFill>
    </fill>
    <fill>
      <patternFill patternType="solid">
        <fgColor rgb="FFFFCC99"/>
      </patternFill>
    </fill>
    <fill>
      <patternFill patternType="solid">
        <fgColor rgb="FFFFEB9C"/>
      </patternFill>
    </fill>
    <fill>
      <patternFill patternType="solid">
        <fgColor rgb="FFFFFFCC"/>
      </patternFill>
    </fill>
    <fill>
      <patternFill patternType="solid">
        <fgColor rgb="FFFFFF99"/>
      </patternFill>
    </fill>
    <fill>
      <patternFill patternType="solid">
        <fgColor rgb="FFD7EAD3"/>
      </patternFill>
    </fill>
    <fill>
      <patternFill patternType="solid">
        <fgColor rgb="FFFFFFFF"/>
      </patternFill>
    </fill>
    <fill>
      <patternFill patternType="solid">
        <fgColor rgb="FFFFFFC0"/>
      </patternFill>
    </fill>
    <fill>
      <patternFill patternType="lightDown">
        <fgColor rgb="FFC0C0C0"/>
      </patternFill>
    </fill>
    <fill>
      <patternFill patternType="solid">
        <fgColor rgb="FFFFB7B7"/>
      </patternFill>
    </fill>
    <fill>
      <patternFill patternType="solid">
        <fgColor rgb="FFE3FAFD"/>
      </patternFill>
    </fill>
    <fill>
      <patternFill patternType="solid">
        <fgColor rgb="FFB7E4FF"/>
      </patternFill>
    </fill>
    <fill>
      <patternFill patternType="solid">
        <fgColor rgb="FFC0C0C0"/>
      </patternFill>
    </fill>
    <fill>
      <patternFill patternType="solid">
        <fgColor theme="0"/>
      </patternFill>
    </fill>
    <fill>
      <patternFill patternType="solid">
        <fgColor rgb="FF8DB4E2"/>
      </patternFill>
    </fill>
    <fill>
      <patternFill patternType="solid">
        <fgColor theme="2" tint="-0.1"/>
      </patternFill>
    </fill>
    <fill>
      <patternFill patternType="solid">
        <fgColor theme="9" tint="-0.25"/>
      </patternFill>
    </fill>
    <fill>
      <patternFill patternType="solid">
        <fgColor theme="0" tint="-0.15"/>
      </patternFill>
    </fill>
    <fill>
      <patternFill patternType="solid">
        <fgColor rgb="FF0066CC"/>
      </patternFill>
    </fill>
    <fill>
      <patternFill patternType="solid">
        <fgColor rgb="FFFFFF00"/>
      </patternFill>
    </fill>
    <fill>
      <patternFill patternType="solid">
        <fgColor rgb="FFFF9900"/>
      </patternFill>
    </fill>
    <fill>
      <patternFill patternType="solid">
        <fgColor rgb="FF808000"/>
      </patternFill>
    </fill>
    <fill>
      <patternFill patternType="solid">
        <fgColor rgb="FFCC99FF"/>
      </patternFill>
    </fill>
    <fill>
      <patternFill patternType="lightDown">
        <fgColor rgb="FFB7E4FF"/>
        <bgColor rgb="FFFFFFFF"/>
      </patternFill>
    </fill>
    <fill>
      <patternFill patternType="solid">
        <fgColor rgb="FFD3DBDB"/>
      </patternFill>
    </fill>
    <fill>
      <patternFill patternType="solid">
        <fgColor rgb="FFCCCCFF"/>
      </patternFill>
    </fill>
    <fill>
      <patternFill patternType="solid">
        <fgColor rgb="FF00CCFF"/>
      </patternFill>
    </fill>
    <fill>
      <patternFill patternType="solid">
        <fgColor rgb="FFBCBCBC"/>
      </patternFill>
    </fill>
    <fill>
      <patternFill patternType="solid">
        <fgColor rgb="FFEAEBEE"/>
      </patternFill>
    </fill>
  </fills>
  <borders count="75">
    <border>
      <left/>
      <right/>
      <top/>
      <bottom/>
    </border>
    <border>
      <left style="thin">
        <color rgb="FF7F7F7F"/>
      </left>
      <right style="thin">
        <color rgb="FF7F7F7F"/>
      </right>
      <top style="thin">
        <color rgb="FF7F7F7F"/>
      </top>
      <bottom style="thin">
        <color rgb="FF7F7F7F"/>
      </bottom>
    </border>
    <border>
      <left style="double">
        <color rgb="FF3F3F3F"/>
      </left>
      <right style="double">
        <color rgb="FF3F3F3F"/>
      </right>
      <top style="double">
        <color rgb="FF3F3F3F"/>
      </top>
      <bottom style="double">
        <color rgb="FF3F3F3F"/>
      </bottom>
    </border>
    <border>
      <left/>
      <right/>
      <top/>
      <bottom style="thick">
        <color theme="4"/>
      </bottom>
    </border>
    <border>
      <left/>
      <right/>
      <top/>
      <bottom style="thick">
        <color theme="4" tint="0.5"/>
      </bottom>
    </border>
    <border>
      <left/>
      <right/>
      <top/>
      <bottom style="medium">
        <color theme="4" tint="0.4"/>
      </bottom>
    </border>
    <border>
      <left/>
      <right/>
      <top/>
      <bottom style="double">
        <color rgb="FFFF8001"/>
      </bottom>
    </border>
    <border>
      <left style="thin">
        <color rgb="FFB2B2B2"/>
      </left>
      <right style="thin">
        <color rgb="FFB2B2B2"/>
      </right>
      <top style="thin">
        <color rgb="FFB2B2B2"/>
      </top>
      <bottom style="thin">
        <color rgb="FFB2B2B2"/>
      </bottom>
    </border>
    <border>
      <left style="thin">
        <color rgb="FF3F3F3F"/>
      </left>
      <right style="thin">
        <color rgb="FF3F3F3F"/>
      </right>
      <top style="thin">
        <color rgb="FF3F3F3F"/>
      </top>
      <bottom style="thin">
        <color rgb="FF3F3F3F"/>
      </bottom>
    </border>
    <border>
      <left/>
      <right/>
      <top style="thin">
        <color theme="4"/>
      </top>
      <bottom style="double">
        <color theme="4"/>
      </bottom>
    </border>
    <border>
      <left style="thin">
        <color rgb="FF000000"/>
      </left>
      <right style="thin">
        <color rgb="FF000000"/>
      </right>
      <top style="thin">
        <color rgb="FF000000"/>
      </top>
      <bottom style="thin">
        <color rgb="FF000000"/>
      </bottom>
    </border>
    <border>
      <left style="thin">
        <color rgb="FFBCBCBC"/>
      </left>
      <right style="thin">
        <color rgb="FFBCBCBC"/>
      </right>
      <top style="thin">
        <color rgb="FFBCBCBC"/>
      </top>
      <bottom style="thin">
        <color rgb="FFBCBCBC"/>
      </bottom>
    </border>
    <border>
      <left style="thin">
        <color rgb="FFC0C0C0"/>
      </left>
      <right style="thin">
        <color rgb="FFC0C0C0"/>
      </right>
      <top style="thin">
        <color rgb="FFC0C0C0"/>
      </top>
      <bottom style="thin">
        <color rgb="FFC0C0C0"/>
      </bottom>
    </border>
    <border>
      <left/>
      <right style="thin">
        <color rgb="FFC0C0C0"/>
      </right>
      <top style="thin">
        <color rgb="FFC0C0C0"/>
      </top>
      <bottom style="thin">
        <color rgb="FFC0C0C0"/>
      </bottom>
    </border>
    <border>
      <left style="thin">
        <color rgb="FFC0C0C0"/>
      </left>
      <right/>
      <top style="thin">
        <color rgb="FFC0C0C0"/>
      </top>
      <bottom style="thin">
        <color rgb="FFC0C0C0"/>
      </bottom>
    </border>
    <border>
      <left/>
      <right/>
      <top style="thin">
        <color rgb="FFC0C0C0"/>
      </top>
      <bottom style="thin">
        <color rgb="FFC0C0C0"/>
      </bottom>
    </border>
    <border>
      <left style="thin">
        <color rgb="FFD3DBDB"/>
      </left>
      <right style="thin">
        <color rgb="FFD3DBDB"/>
      </right>
      <top style="thin">
        <color rgb="FFD3DBDB"/>
      </top>
      <bottom style="thin">
        <color rgb="FFD3DBDB"/>
      </bottom>
    </border>
    <border>
      <left style="thin">
        <color rgb="FFC0C0C0"/>
      </left>
      <right style="thin">
        <color rgb="FFC0C0C0"/>
      </right>
      <top style="thin">
        <color rgb="FFC0C0C0"/>
      </top>
      <bottom/>
    </border>
    <border>
      <left/>
      <right/>
      <top style="dotted">
        <color rgb="FF000000"/>
      </top>
      <bottom style="dotted">
        <color rgb="FF000000"/>
      </bottom>
    </border>
    <border>
      <left/>
      <right/>
      <top style="thin">
        <color rgb="FFC0C0C0"/>
      </top>
      <bottom/>
    </border>
    <border>
      <left/>
      <right style="thin">
        <color rgb="FFC0C0C0"/>
      </right>
      <top style="thin">
        <color rgb="FFC0C0C0"/>
      </top>
      <bottom/>
    </border>
    <border>
      <left/>
      <right/>
      <top style="thin">
        <color rgb="FFD3DBDB"/>
      </top>
      <bottom/>
    </border>
    <border>
      <left style="thin">
        <color rgb="FFC0C0C0"/>
      </left>
      <right/>
      <top/>
      <bottom/>
    </border>
    <border>
      <left style="thin">
        <color rgb="FFC0C0C0"/>
      </left>
      <right style="thin">
        <color rgb="FFC0C0C0"/>
      </right>
      <top/>
      <bottom style="thin">
        <color rgb="FFC0C0C0"/>
      </bottom>
    </border>
    <border>
      <left/>
      <right style="thin">
        <color rgb="FFC0C0C0"/>
      </right>
      <top/>
      <bottom/>
    </border>
    <border>
      <left style="thin">
        <color rgb="FFC0C0C0"/>
      </left>
      <right style="thin">
        <color rgb="FFC0C0C0"/>
      </right>
      <top style="thin">
        <color rgb="FFC0C0C0"/>
      </top>
      <bottom style="thin">
        <color rgb="FFBCBCBC"/>
      </bottom>
    </border>
    <border>
      <left style="hair">
        <color rgb="FFC0C0C0"/>
      </left>
      <right/>
      <top style="hair">
        <color rgb="FFC0C0C0"/>
      </top>
      <bottom style="hair">
        <color rgb="FFC0C0C0"/>
      </bottom>
    </border>
    <border>
      <left/>
      <right/>
      <top/>
      <bottom style="thin">
        <color rgb="FFC0C0C0"/>
      </bottom>
    </border>
    <border>
      <left style="thin">
        <color theme="0" tint="-0.25"/>
      </left>
      <right style="thin">
        <color rgb="FFC0C0C0"/>
      </right>
      <top style="thin">
        <color rgb="FFC0C0C0"/>
      </top>
      <bottom style="thin">
        <color rgb="FFC0C0C0"/>
      </bottom>
    </border>
    <border>
      <left/>
      <right style="thin">
        <color rgb="FFC0C0C0"/>
      </right>
      <top/>
      <bottom style="thin">
        <color rgb="FFC0C0C0"/>
      </bottom>
    </border>
    <border>
      <left style="thin">
        <color rgb="FFC0C0C0"/>
      </left>
      <right/>
      <top/>
      <bottom style="thin">
        <color rgb="FFC0C0C0"/>
      </bottom>
    </border>
    <border>
      <left style="thin">
        <color theme="0" tint="-0.25"/>
      </left>
      <right style="thin">
        <color theme="0" tint="-0.25"/>
      </right>
      <top style="thin">
        <color theme="0" tint="-0.25"/>
      </top>
      <bottom style="thin">
        <color theme="0" tint="-0.25"/>
      </bottom>
    </border>
    <border>
      <left style="thin">
        <color theme="0" tint="-0.25"/>
      </left>
      <right style="thin">
        <color theme="0" tint="-0.25"/>
      </right>
      <top/>
      <bottom style="thin">
        <color theme="0" tint="-0.25"/>
      </bottom>
    </border>
    <border>
      <left style="thin">
        <color theme="0" tint="-0.25"/>
      </left>
      <right/>
      <top style="thin">
        <color theme="0" tint="-0.25"/>
      </top>
      <bottom style="thin">
        <color theme="0" tint="-0.25"/>
      </bottom>
    </border>
    <border>
      <left style="thin">
        <color theme="0" tint="-0.25"/>
      </left>
      <right/>
      <top/>
      <bottom style="thin">
        <color theme="0" tint="-0.25"/>
      </bottom>
    </border>
    <border>
      <left style="thin">
        <color theme="0" tint="-0.25"/>
      </left>
      <right style="thin">
        <color theme="0" tint="-0.25"/>
      </right>
      <top style="thin">
        <color theme="0" tint="-0.25"/>
      </top>
      <bottom/>
    </border>
    <border>
      <left style="thin">
        <color rgb="FFC0C0C0"/>
      </left>
      <right style="thin">
        <color rgb="FFC0C0C0"/>
      </right>
      <top/>
      <bottom/>
    </border>
    <border>
      <left style="thin">
        <color rgb="FFC0C0C0"/>
      </left>
      <right/>
      <top style="thin">
        <color rgb="FFC0C0C0"/>
      </top>
      <bottom/>
    </border>
    <border>
      <left style="thin">
        <color rgb="FFBCBCBC"/>
      </left>
      <right/>
      <top/>
      <bottom/>
    </border>
    <border>
      <left/>
      <right/>
      <top/>
      <bottom style="thin">
        <color rgb="FFBCBCBC"/>
      </bottom>
    </border>
    <border>
      <left style="thin">
        <color theme="0" tint="-0.25"/>
      </left>
      <right style="thin">
        <color theme="0" tint="-0.25"/>
      </right>
      <top/>
      <bottom/>
    </border>
    <border>
      <left/>
      <right/>
      <top style="thin">
        <color rgb="FFBCBCBC"/>
      </top>
      <bottom style="thin">
        <color rgb="FFBCBCBC"/>
      </bottom>
    </border>
    <border>
      <left style="thin">
        <color rgb="FFC0C0C0"/>
      </left>
      <right/>
      <top style="thin">
        <color rgb="FFBCBCBC"/>
      </top>
      <bottom style="thin">
        <color rgb="FFC0C0C0"/>
      </bottom>
    </border>
    <border>
      <left/>
      <right/>
      <top style="thin">
        <color rgb="FFBCBCBC"/>
      </top>
      <bottom style="thin">
        <color rgb="FFC0C0C0"/>
      </bottom>
    </border>
    <border>
      <left/>
      <right/>
      <top style="thin">
        <color rgb="FFD3DBDB"/>
      </top>
      <bottom style="thin">
        <color rgb="FFD3DBDB"/>
      </bottom>
    </border>
    <border>
      <left style="thin">
        <color rgb="FFD3DBDB"/>
      </left>
      <right/>
      <top style="thin">
        <color rgb="FFD3DBDB"/>
      </top>
      <bottom style="thin">
        <color rgb="FFD3DBDB"/>
      </bottom>
    </border>
    <border>
      <left style="thin">
        <color theme="0" tint="-0.35"/>
      </left>
      <right style="thin">
        <color theme="0" tint="-0.35"/>
      </right>
      <top style="thin">
        <color theme="0" tint="-0.35"/>
      </top>
      <bottom style="thin">
        <color theme="0" tint="-0.35"/>
      </bottom>
    </border>
    <border>
      <left style="thin">
        <color rgb="FFBCBCBC"/>
      </left>
      <right/>
      <top style="medium">
        <color rgb="FFBCBCBC"/>
      </top>
      <bottom style="thin">
        <color rgb="FFC0C0C0"/>
      </bottom>
    </border>
    <border>
      <left style="thin">
        <color rgb="FFBCBCBC"/>
      </left>
      <right/>
      <top style="medium">
        <color rgb="FFBCBCBC"/>
      </top>
      <bottom/>
    </border>
    <border>
      <left/>
      <right/>
      <top style="medium">
        <color rgb="FFBCBCBC"/>
      </top>
      <bottom/>
    </border>
    <border>
      <left/>
      <right/>
      <top/>
      <bottom style="medium">
        <color rgb="FFC0C0C0"/>
      </bottom>
    </border>
    <border>
      <left/>
      <right/>
      <top style="thin">
        <color rgb="FFC0C0C0"/>
      </top>
      <bottom style="medium">
        <color rgb="FFC0C0C0"/>
      </bottom>
    </border>
    <border>
      <left/>
      <right style="thin">
        <color theme="0" tint="-0.25"/>
      </right>
      <top style="thin">
        <color rgb="FFC0C0C0"/>
      </top>
      <bottom style="thin">
        <color rgb="FFC0C0C0"/>
      </bottom>
    </border>
    <border>
      <left/>
      <right/>
      <top style="medium">
        <color rgb="FFBCBCBC"/>
      </top>
      <bottom style="thin">
        <color rgb="FFBCBCBC"/>
      </bottom>
    </border>
    <border>
      <left/>
      <right style="thin">
        <color rgb="FFBCBCBC"/>
      </right>
      <top style="medium">
        <color rgb="FFBCBCBC"/>
      </top>
      <bottom style="thin">
        <color rgb="FFBCBCBC"/>
      </bottom>
    </border>
    <border>
      <left/>
      <right/>
      <top style="medium">
        <color rgb="FFC0C0C0"/>
      </top>
      <bottom style="thin">
        <color rgb="FFC0C0C0"/>
      </bottom>
    </border>
    <border>
      <left style="thin">
        <color rgb="FFC0C0C0"/>
      </left>
      <right/>
      <top style="thin">
        <color rgb="FFC0C0C0"/>
      </top>
      <bottom style="medium">
        <color rgb="FFC0C0C0"/>
      </bottom>
    </border>
    <border>
      <left style="thin">
        <color theme="0" tint="-0.25"/>
      </left>
      <right style="thin">
        <color rgb="FFC0C0C0"/>
      </right>
      <top style="thin">
        <color rgb="FFC0C0C0"/>
      </top>
      <bottom/>
    </border>
    <border>
      <left style="thin">
        <color theme="0" tint="-0.25"/>
      </left>
      <right/>
      <top style="thin">
        <color rgb="FFC0C0C0"/>
      </top>
      <bottom style="thin">
        <color rgb="FFC0C0C0"/>
      </bottom>
    </border>
    <border>
      <left style="thin">
        <color theme="0" tint="-0.25"/>
      </left>
      <right/>
      <top style="thin">
        <color rgb="FFC0C0C0"/>
      </top>
      <bottom/>
    </border>
    <border>
      <left style="thin">
        <color rgb="FFBCBCBC"/>
      </left>
      <right/>
      <top style="thin">
        <color rgb="FFBCBCBC"/>
      </top>
      <bottom/>
    </border>
    <border>
      <left/>
      <right/>
      <top style="thin">
        <color rgb="FFBCBCBC"/>
      </top>
      <bottom/>
    </border>
    <border>
      <left style="thin">
        <color rgb="FFBCBCBC"/>
      </left>
      <right/>
      <top/>
      <bottom style="thin">
        <color rgb="FFBCBCBC"/>
      </bottom>
    </border>
    <border>
      <left style="thin">
        <color rgb="FF999999"/>
      </left>
      <right/>
      <top style="thin">
        <color rgb="FF999999"/>
      </top>
      <bottom style="thin">
        <color rgb="FF999999"/>
      </bottom>
    </border>
    <border>
      <left/>
      <right/>
      <top style="thin">
        <color rgb="FF999999"/>
      </top>
      <bottom style="thin">
        <color rgb="FF999999"/>
      </bottom>
    </border>
    <border>
      <left/>
      <right style="thin">
        <color rgb="FF999999"/>
      </right>
      <top style="thin">
        <color rgb="FF999999"/>
      </top>
      <bottom style="thin">
        <color rgb="FF999999"/>
      </bottom>
    </border>
    <border>
      <left/>
      <right style="thin">
        <color rgb="FFBCBCBC"/>
      </right>
      <top/>
      <bottom/>
    </border>
    <border>
      <left/>
      <right style="thin">
        <color rgb="FFBCBCBC"/>
      </right>
      <top style="thin">
        <color rgb="FFBCBCBC"/>
      </top>
      <bottom/>
    </border>
    <border>
      <left style="thin">
        <color rgb="FFC0C0C0"/>
      </left>
      <right style="thin">
        <color rgb="FFC0C0C0"/>
      </right>
      <top style="thin">
        <color rgb="FFBCBCBC"/>
      </top>
      <bottom style="thin">
        <color rgb="FFBCBCBC"/>
      </bottom>
    </border>
    <border>
      <left style="thin">
        <color rgb="FFC0C0C0"/>
      </left>
      <right/>
      <top style="thin">
        <color rgb="FFBCBCBC"/>
      </top>
      <bottom style="thin">
        <color rgb="FFBCBCBC"/>
      </bottom>
    </border>
    <border>
      <left/>
      <right style="thin">
        <color rgb="FFC0C0C0"/>
      </right>
      <top style="thin">
        <color rgb="FFBCBCBC"/>
      </top>
      <bottom style="thin">
        <color rgb="FFBCBCBC"/>
      </bottom>
    </border>
    <border>
      <left style="thin">
        <color rgb="FFBCBCBC"/>
      </left>
      <right/>
      <top style="thin">
        <color rgb="FFBCBCBC"/>
      </top>
      <bottom style="thin">
        <color rgb="FFBCBCBC"/>
      </bottom>
    </border>
    <border>
      <left/>
      <right style="thin">
        <color rgb="FFBCBCBC"/>
      </right>
      <top style="thin">
        <color rgb="FFBCBCBC"/>
      </top>
      <bottom style="thin">
        <color rgb="FFBCBCBC"/>
      </bottom>
    </border>
    <border>
      <left style="thin">
        <color rgb="FFBCBCBC"/>
      </left>
      <right/>
      <top style="thin">
        <color rgb="FFBCBCBC"/>
      </top>
      <bottom style="thin">
        <color rgb="FFC0C0C0"/>
      </bottom>
    </border>
    <border>
      <left style="thin">
        <color rgb="FFC0C0C0"/>
      </left>
      <right style="thin">
        <color rgb="FFC0C0C0"/>
      </right>
      <top style="thin">
        <color rgb="FFC0C0C0"/>
      </top>
      <bottom style="medium">
        <color rgb="FFC0C0C0"/>
      </bottom>
    </border>
  </borders>
  <cellStyleXfs count="64">
    <xf numFmtId="49" fontId="0" fillId="0" borderId="0" applyFont="1" applyFill="0" applyBorder="0" applyNumberFormat="1">
      <alignment vertical="top"/>
    </xf>
    <xf numFmtId="0" fontId="1" fillId="2" borderId="0" applyFont="1" applyFill="1" applyBorder="0">
      <alignment vertical="top"/>
    </xf>
    <xf numFmtId="0" fontId="1" fillId="3" borderId="0" applyFont="1" applyFill="1" applyBorder="0">
      <alignment vertical="top"/>
    </xf>
    <xf numFmtId="0" fontId="1" fillId="4" borderId="0" applyFont="1" applyFill="1" applyBorder="0">
      <alignment vertical="top"/>
    </xf>
    <xf numFmtId="0" fontId="1" fillId="5" borderId="0" applyFont="1" applyFill="1" applyBorder="0">
      <alignment vertical="top"/>
    </xf>
    <xf numFmtId="0" fontId="1" fillId="6" borderId="0" applyFont="1" applyFill="1" applyBorder="0">
      <alignment vertical="top"/>
    </xf>
    <xf numFmtId="0" fontId="1" fillId="7" borderId="0" applyFont="1" applyFill="1" applyBorder="0">
      <alignment vertical="top"/>
    </xf>
    <xf numFmtId="0" fontId="1" fillId="8" borderId="0" applyFont="1" applyFill="1" applyBorder="0">
      <alignment vertical="top"/>
    </xf>
    <xf numFmtId="0" fontId="1" fillId="9" borderId="0" applyFont="1" applyFill="1" applyBorder="0">
      <alignment vertical="top"/>
    </xf>
    <xf numFmtId="0" fontId="1" fillId="10" borderId="0" applyFont="1" applyFill="1" applyBorder="0">
      <alignment vertical="top"/>
    </xf>
    <xf numFmtId="0" fontId="1" fillId="11" borderId="0" applyFont="1" applyFill="1" applyBorder="0">
      <alignment vertical="top"/>
    </xf>
    <xf numFmtId="0" fontId="1" fillId="12" borderId="0" applyFont="1" applyFill="1" applyBorder="0">
      <alignment vertical="top"/>
    </xf>
    <xf numFmtId="0" fontId="1" fillId="13" borderId="0" applyFont="1" applyFill="1" applyBorder="0">
      <alignment vertical="top"/>
    </xf>
    <xf numFmtId="0" fontId="1" fillId="14" borderId="0" applyFont="1" applyFill="1" applyBorder="0">
      <alignment vertical="top"/>
    </xf>
    <xf numFmtId="0" fontId="1" fillId="15" borderId="0" applyFont="1" applyFill="1" applyBorder="0">
      <alignment vertical="top"/>
    </xf>
    <xf numFmtId="0" fontId="1" fillId="16" borderId="0" applyFont="1" applyFill="1" applyBorder="0">
      <alignment vertical="top"/>
    </xf>
    <xf numFmtId="0" fontId="1" fillId="17" borderId="0" applyFont="1" applyFill="1" applyBorder="0">
      <alignment vertical="top"/>
    </xf>
    <xf numFmtId="0" fontId="1" fillId="18" borderId="0" applyFont="1" applyFill="1" applyBorder="0">
      <alignment vertical="top"/>
    </xf>
    <xf numFmtId="0" fontId="1" fillId="19" borderId="0" applyFont="1" applyFill="1" applyBorder="0">
      <alignment vertical="top"/>
    </xf>
    <xf numFmtId="0" fontId="2" fillId="20" borderId="0" applyFont="1" applyFill="1" applyBorder="0">
      <alignment vertical="top"/>
    </xf>
    <xf numFmtId="0" fontId="2" fillId="21" borderId="0" applyFont="1" applyFill="1" applyBorder="0">
      <alignment vertical="top"/>
    </xf>
    <xf numFmtId="0" fontId="2" fillId="22" borderId="0" applyFont="1" applyFill="1" applyBorder="0">
      <alignment vertical="top"/>
    </xf>
    <xf numFmtId="0" fontId="2" fillId="23" borderId="0" applyFont="1" applyFill="1" applyBorder="0">
      <alignment vertical="top"/>
    </xf>
    <xf numFmtId="0" fontId="2" fillId="24" borderId="0" applyFont="1" applyFill="1" applyBorder="0">
      <alignment vertical="top"/>
    </xf>
    <xf numFmtId="0" fontId="2" fillId="25" borderId="0" applyFont="1" applyFill="1" applyBorder="0">
      <alignment vertical="top"/>
    </xf>
    <xf numFmtId="0" fontId="3" fillId="26" borderId="0" applyFont="1" applyFill="1" applyBorder="0">
      <alignment vertical="top"/>
    </xf>
    <xf numFmtId="0" fontId="4" fillId="27" borderId="1" applyFont="1" applyFill="1" applyBorder="1">
      <alignment vertical="top"/>
    </xf>
    <xf numFmtId="0" fontId="5" fillId="28" borderId="2" applyFont="1" applyFill="1" applyBorder="1">
      <alignment vertical="top"/>
    </xf>
    <xf numFmtId="171" fontId="6" fillId="0" borderId="0" applyFont="0" applyFill="0" applyBorder="0" applyNumberFormat="1">
      <alignment vertical="top"/>
    </xf>
    <xf numFmtId="172" fontId="6" fillId="0" borderId="0" applyFont="0" applyFill="0" applyBorder="0" applyNumberFormat="1">
      <alignment vertical="top"/>
    </xf>
    <xf numFmtId="173" fontId="6" fillId="0" borderId="0" applyFont="0" applyFill="0" applyBorder="0" applyNumberFormat="1">
      <alignment vertical="top"/>
    </xf>
    <xf numFmtId="174" fontId="6" fillId="0" borderId="0" applyFont="0" applyFill="0" applyBorder="0" applyNumberFormat="1">
      <alignment vertical="top"/>
    </xf>
    <xf numFmtId="0" fontId="7" fillId="0" borderId="0" applyFont="1" applyFill="0" applyBorder="0">
      <alignment vertical="top"/>
    </xf>
    <xf numFmtId="0" fontId="8" fillId="29" borderId="0" applyFont="1" applyFill="1" applyBorder="0">
      <alignment vertical="top"/>
    </xf>
    <xf numFmtId="0" fontId="9" fillId="0" borderId="3" applyFont="1" applyFill="0" applyBorder="1">
      <alignment vertical="top"/>
    </xf>
    <xf numFmtId="0" fontId="10" fillId="0" borderId="4" applyFont="1" applyFill="0" applyBorder="1">
      <alignment vertical="top"/>
    </xf>
    <xf numFmtId="0" fontId="11" fillId="0" borderId="5" applyFont="1" applyFill="0" applyBorder="1">
      <alignment vertical="top"/>
    </xf>
    <xf numFmtId="0" fontId="11" fillId="0" borderId="0" applyFont="1" applyFill="0" applyBorder="0">
      <alignment vertical="top"/>
    </xf>
    <xf numFmtId="0" fontId="12" fillId="30" borderId="1" applyFont="1" applyFill="1" applyBorder="1">
      <alignment vertical="top"/>
    </xf>
    <xf numFmtId="0" fontId="13" fillId="0" borderId="6" applyFont="1" applyFill="0" applyBorder="1">
      <alignment vertical="top"/>
    </xf>
    <xf numFmtId="0" fontId="14" fillId="31" borderId="0" applyFont="1" applyFill="1" applyBorder="0">
      <alignment vertical="top"/>
    </xf>
    <xf numFmtId="0" fontId="15" fillId="0" borderId="0" applyFont="1" applyFill="0" applyBorder="0">
      <alignment vertical="top"/>
    </xf>
    <xf numFmtId="0" fontId="6" fillId="32" borderId="7" applyFont="0" applyFill="1" applyBorder="1">
      <alignment vertical="top"/>
    </xf>
    <xf numFmtId="0" fontId="16" fillId="27" borderId="8" applyFont="1" applyFill="1" applyBorder="1">
      <alignment vertical="top"/>
    </xf>
    <xf numFmtId="9" fontId="6" fillId="0" borderId="0" applyFont="0" applyFill="0" applyBorder="0" applyNumberFormat="1">
      <alignment vertical="top"/>
    </xf>
    <xf numFmtId="0" fontId="17" fillId="0" borderId="0" applyFont="1" applyFill="0" applyBorder="0">
      <alignment vertical="top"/>
    </xf>
    <xf numFmtId="0" fontId="18" fillId="0" borderId="9" applyFont="1" applyFill="0" applyBorder="1">
      <alignment vertical="top"/>
    </xf>
    <xf numFmtId="0" fontId="19" fillId="0" borderId="0" applyFont="1" applyFill="0" applyBorder="0">
      <alignment vertical="top"/>
    </xf>
    <xf numFmtId="0" fontId="20" fillId="0" borderId="0" applyFont="1" applyFill="0" applyBorder="0"/>
    <xf numFmtId="175" fontId="20" fillId="0" borderId="0" applyFont="1" applyFill="0" applyBorder="0" applyNumberFormat="1"/>
    <xf numFmtId="38" fontId="21" fillId="0" borderId="0" applyFont="1" applyFill="0" applyBorder="0" applyNumberFormat="1">
      <alignment vertical="top"/>
    </xf>
    <xf numFmtId="176" fontId="22" fillId="33" borderId="0" applyFont="1" applyFill="1" applyBorder="0" applyNumberFormat="1">
      <protection locked="0"/>
    </xf>
    <xf numFmtId="0" fontId="23" fillId="0" borderId="0" applyFont="1" applyFill="0" applyBorder="0">
      <alignment vertical="center"/>
    </xf>
    <xf numFmtId="177" fontId="22" fillId="33" borderId="0" applyFont="1" applyFill="1" applyBorder="0" applyNumberFormat="1">
      <protection locked="0"/>
    </xf>
    <xf numFmtId="178" fontId="22" fillId="33" borderId="0" applyFont="1" applyFill="1" applyBorder="0" applyNumberFormat="1">
      <protection locked="0"/>
    </xf>
    <xf numFmtId="0" fontId="24" fillId="0" borderId="0" applyFont="1" applyFill="0" applyBorder="0">
      <alignment vertical="top"/>
    </xf>
    <xf numFmtId="0" fontId="25" fillId="0" borderId="0" applyFont="1" applyFill="0" applyBorder="0">
      <alignment vertical="top"/>
    </xf>
    <xf numFmtId="0" fontId="26" fillId="0" borderId="0" applyFont="1" applyFill="0" applyBorder="0"/>
    <xf numFmtId="0" fontId="27" fillId="0" borderId="0" applyFont="1" applyFill="0" applyBorder="0">
      <alignment vertical="top"/>
    </xf>
    <xf numFmtId="49" fontId="22" fillId="0" borderId="0" applyFont="1" applyFill="0" applyBorder="0" applyNumberFormat="1">
      <alignment vertical="top"/>
    </xf>
    <xf numFmtId="0" fontId="28" fillId="0" borderId="0" applyFont="1" applyFill="0" applyBorder="0"/>
    <xf numFmtId="49" fontId="0" fillId="0" borderId="0" applyFont="1" applyFill="0" applyBorder="0" applyNumberFormat="1">
      <alignment vertical="top"/>
    </xf>
    <xf numFmtId="0" fontId="29" fillId="0" borderId="0" applyFont="1" applyFill="0" applyBorder="0"/>
    <xf numFmtId="0" fontId="30" fillId="0" borderId="0" applyFont="1" applyFill="0" applyBorder="0">
      <alignment vertical="top"/>
    </xf>
  </cellStyleXfs>
  <cellXfs count="2929">
    <xf numFmtId="49" fontId="0" fillId="0" borderId="0" xfId="0" applyFont="1" applyNumberFormat="1">
      <alignment vertical="top"/>
    </xf>
    <xf numFmtId="0" fontId="1" fillId="2" borderId="0" xfId="1" applyFont="1" applyFill="1">
      <alignment vertical="top"/>
    </xf>
    <xf numFmtId="0" fontId="1" fillId="3" borderId="0" xfId="2" applyFont="1" applyFill="1">
      <alignment vertical="top"/>
    </xf>
    <xf numFmtId="0" fontId="1" fillId="4" borderId="0" xfId="3" applyFont="1" applyFill="1">
      <alignment vertical="top"/>
    </xf>
    <xf numFmtId="0" fontId="1" fillId="5" borderId="0" xfId="4" applyFont="1" applyFill="1">
      <alignment vertical="top"/>
    </xf>
    <xf numFmtId="0" fontId="1" fillId="6" borderId="0" xfId="5" applyFont="1" applyFill="1">
      <alignment vertical="top"/>
    </xf>
    <xf numFmtId="0" fontId="1" fillId="7" borderId="0" xfId="6" applyFont="1" applyFill="1">
      <alignment vertical="top"/>
    </xf>
    <xf numFmtId="0" fontId="1" fillId="8" borderId="0" xfId="7" applyFont="1" applyFill="1">
      <alignment vertical="top"/>
    </xf>
    <xf numFmtId="0" fontId="1" fillId="9" borderId="0" xfId="8" applyFont="1" applyFill="1">
      <alignment vertical="top"/>
    </xf>
    <xf numFmtId="0" fontId="1" fillId="10" borderId="0" xfId="9" applyFont="1" applyFill="1">
      <alignment vertical="top"/>
    </xf>
    <xf numFmtId="0" fontId="1" fillId="11" borderId="0" xfId="10" applyFont="1" applyFill="1">
      <alignment vertical="top"/>
    </xf>
    <xf numFmtId="0" fontId="1" fillId="12" borderId="0" xfId="11" applyFont="1" applyFill="1">
      <alignment vertical="top"/>
    </xf>
    <xf numFmtId="0" fontId="1" fillId="13" borderId="0" xfId="12" applyFont="1" applyFill="1">
      <alignment vertical="top"/>
    </xf>
    <xf numFmtId="0" fontId="1" fillId="14" borderId="0" xfId="13" applyFont="1" applyFill="1">
      <alignment vertical="top"/>
    </xf>
    <xf numFmtId="0" fontId="1" fillId="15" borderId="0" xfId="14" applyFont="1" applyFill="1">
      <alignment vertical="top"/>
    </xf>
    <xf numFmtId="0" fontId="1" fillId="16" borderId="0" xfId="15" applyFont="1" applyFill="1">
      <alignment vertical="top"/>
    </xf>
    <xf numFmtId="0" fontId="1" fillId="17" borderId="0" xfId="16" applyFont="1" applyFill="1">
      <alignment vertical="top"/>
    </xf>
    <xf numFmtId="0" fontId="1" fillId="18" borderId="0" xfId="17" applyFont="1" applyFill="1">
      <alignment vertical="top"/>
    </xf>
    <xf numFmtId="0" fontId="1" fillId="19" borderId="0" xfId="18" applyFont="1" applyFill="1">
      <alignment vertical="top"/>
    </xf>
    <xf numFmtId="0" fontId="2" fillId="20" borderId="0" xfId="19" applyFont="1" applyFill="1">
      <alignment vertical="top"/>
    </xf>
    <xf numFmtId="0" fontId="2" fillId="21" borderId="0" xfId="20" applyFont="1" applyFill="1">
      <alignment vertical="top"/>
    </xf>
    <xf numFmtId="0" fontId="2" fillId="22" borderId="0" xfId="21" applyFont="1" applyFill="1">
      <alignment vertical="top"/>
    </xf>
    <xf numFmtId="0" fontId="2" fillId="23" borderId="0" xfId="22" applyFont="1" applyFill="1">
      <alignment vertical="top"/>
    </xf>
    <xf numFmtId="0" fontId="2" fillId="24" borderId="0" xfId="23" applyFont="1" applyFill="1">
      <alignment vertical="top"/>
    </xf>
    <xf numFmtId="0" fontId="2" fillId="25" borderId="0" xfId="24" applyFont="1" applyFill="1">
      <alignment vertical="top"/>
    </xf>
    <xf numFmtId="0" fontId="3" fillId="26" borderId="0" xfId="25" applyFont="1" applyFill="1">
      <alignment vertical="top"/>
    </xf>
    <xf numFmtId="0" fontId="4" fillId="27" borderId="1" xfId="26" applyFont="1" applyFill="1" applyBorder="1">
      <alignment vertical="top"/>
    </xf>
    <xf numFmtId="0" fontId="5" fillId="28" borderId="2" xfId="27" applyFont="1" applyFill="1" applyBorder="1">
      <alignment vertical="top"/>
    </xf>
    <xf numFmtId="171" fontId="6" fillId="0" borderId="0" xfId="28" applyFont="0" applyNumberFormat="1">
      <alignment vertical="top"/>
    </xf>
    <xf numFmtId="172" fontId="6" fillId="0" borderId="0" xfId="29" applyFont="0" applyNumberFormat="1">
      <alignment vertical="top"/>
    </xf>
    <xf numFmtId="173" fontId="6" fillId="0" borderId="0" xfId="30" applyFont="0" applyNumberFormat="1">
      <alignment vertical="top"/>
    </xf>
    <xf numFmtId="174" fontId="6" fillId="0" borderId="0" xfId="31" applyFont="0" applyNumberFormat="1">
      <alignment vertical="top"/>
    </xf>
    <xf numFmtId="0" fontId="7" fillId="0" borderId="0" xfId="32" applyFont="1">
      <alignment vertical="top"/>
    </xf>
    <xf numFmtId="0" fontId="8" fillId="29" borderId="0" xfId="33" applyFont="1" applyFill="1">
      <alignment vertical="top"/>
    </xf>
    <xf numFmtId="0" fontId="9" fillId="0" borderId="3" xfId="34" applyFont="1" applyBorder="1">
      <alignment vertical="top"/>
    </xf>
    <xf numFmtId="0" fontId="10" fillId="0" borderId="4" xfId="35" applyFont="1" applyBorder="1">
      <alignment vertical="top"/>
    </xf>
    <xf numFmtId="0" fontId="11" fillId="0" borderId="5" xfId="36" applyFont="1" applyBorder="1">
      <alignment vertical="top"/>
    </xf>
    <xf numFmtId="0" fontId="11" fillId="0" borderId="0" xfId="37" applyFont="1">
      <alignment vertical="top"/>
    </xf>
    <xf numFmtId="0" fontId="12" fillId="30" borderId="1" xfId="38" applyFont="1" applyFill="1" applyBorder="1">
      <alignment vertical="top"/>
    </xf>
    <xf numFmtId="0" fontId="13" fillId="0" borderId="6" xfId="39" applyFont="1" applyBorder="1">
      <alignment vertical="top"/>
    </xf>
    <xf numFmtId="0" fontId="14" fillId="31" borderId="0" xfId="40" applyFont="1" applyFill="1">
      <alignment vertical="top"/>
    </xf>
    <xf numFmtId="0" fontId="15" fillId="0" borderId="0" xfId="41" applyFont="1">
      <alignment vertical="top"/>
    </xf>
    <xf numFmtId="0" fontId="6" fillId="32" borderId="7" xfId="42" applyFont="0" applyFill="1" applyBorder="1">
      <alignment vertical="top"/>
    </xf>
    <xf numFmtId="0" fontId="16" fillId="27" borderId="8" xfId="43" applyFont="1" applyFill="1" applyBorder="1">
      <alignment vertical="top"/>
    </xf>
    <xf numFmtId="9" fontId="6" fillId="0" borderId="0" xfId="44" applyFont="0" applyNumberFormat="1">
      <alignment vertical="top"/>
    </xf>
    <xf numFmtId="0" fontId="17" fillId="0" borderId="0" xfId="45" applyFont="1">
      <alignment vertical="top"/>
    </xf>
    <xf numFmtId="0" fontId="18" fillId="0" borderId="9" xfId="46" applyFont="1" applyBorder="1">
      <alignment vertical="top"/>
    </xf>
    <xf numFmtId="0" fontId="19" fillId="0" borderId="0" xfId="47" applyFont="1">
      <alignment vertical="top"/>
    </xf>
    <xf numFmtId="0" fontId="20" fillId="0" borderId="0" xfId="48" applyFont="1"/>
    <xf numFmtId="175" fontId="20" fillId="0" borderId="0" xfId="49" applyFont="1" applyNumberFormat="1"/>
    <xf numFmtId="38" fontId="21" fillId="0" borderId="0" xfId="50" applyFont="1" applyNumberFormat="1">
      <alignment vertical="top"/>
    </xf>
    <xf numFmtId="176" fontId="22" fillId="33" borderId="0" xfId="51" applyFont="1" applyFill="1" applyNumberFormat="1">
      <protection locked="0"/>
    </xf>
    <xf numFmtId="0" fontId="23" fillId="0" borderId="0" xfId="52" applyFont="1">
      <alignment vertical="center"/>
    </xf>
    <xf numFmtId="177" fontId="22" fillId="33" borderId="0" xfId="53" applyFont="1" applyFill="1" applyNumberFormat="1">
      <protection locked="0"/>
    </xf>
    <xf numFmtId="178" fontId="22" fillId="33" borderId="0" xfId="54" applyFont="1" applyFill="1" applyNumberFormat="1">
      <protection locked="0"/>
    </xf>
    <xf numFmtId="0" fontId="24" fillId="0" borderId="0" xfId="55" applyFont="1">
      <alignment vertical="top"/>
    </xf>
    <xf numFmtId="0" fontId="25" fillId="0" borderId="0" xfId="56" applyFont="1">
      <alignment vertical="top"/>
    </xf>
    <xf numFmtId="0" fontId="26" fillId="0" borderId="0" xfId="57" applyFont="1"/>
    <xf numFmtId="0" fontId="27" fillId="0" borderId="0" xfId="58" applyFont="1">
      <alignment vertical="top"/>
    </xf>
    <xf numFmtId="49" fontId="22" fillId="0" borderId="0" xfId="59" applyFont="1" applyNumberFormat="1">
      <alignment vertical="top"/>
    </xf>
    <xf numFmtId="0" fontId="28" fillId="0" borderId="0" xfId="60" applyFont="1"/>
    <xf numFmtId="49" fontId="0" fillId="0" borderId="0" xfId="61" applyFont="1" applyNumberFormat="1">
      <alignment vertical="top"/>
    </xf>
    <xf numFmtId="0" fontId="29" fillId="0" borderId="0" xfId="62" applyFont="1"/>
    <xf numFmtId="0" fontId="30" fillId="0" borderId="0" xfId="63" applyFont="1">
      <alignment vertical="top"/>
    </xf>
    <xf numFmtId="49" fontId="0" fillId="0" borderId="0" xfId="61" applyFont="1" applyNumberFormat="1">
      <alignment vertical="top"/>
    </xf>
    <xf numFmtId="49" fontId="0" fillId="0" borderId="0" xfId="61" applyFont="1" applyNumberFormat="1">
      <alignment vertical="top"/>
    </xf>
    <xf numFmtId="0" fontId="22" fillId="0" borderId="0" xfId="0" applyFont="1">
      <alignment vertical="top" wrapText="1"/>
    </xf>
    <xf numFmtId="49" fontId="0" fillId="0" borderId="0" xfId="0" applyFont="1" applyNumberFormat="1">
      <alignment vertical="top"/>
    </xf>
    <xf numFmtId="49" fontId="22" fillId="34" borderId="10" xfId="0" applyFont="1" applyFill="1" applyBorder="1" applyNumberFormat="1">
      <alignment horizontal="center" vertical="top"/>
    </xf>
    <xf numFmtId="49" fontId="0" fillId="0" borderId="0" xfId="0" applyFont="1" applyNumberFormat="1">
      <alignment vertical="top"/>
    </xf>
    <xf numFmtId="0" fontId="22" fillId="0" borderId="0" xfId="0" applyFont="1"/>
    <xf numFmtId="0" fontId="22" fillId="35" borderId="0" xfId="0" applyFont="1" applyFill="1"/>
    <xf numFmtId="0" fontId="31" fillId="0" borderId="0" xfId="0" applyFont="1">
      <alignment vertical="center" wrapText="1"/>
    </xf>
    <xf numFmtId="0" fontId="32" fillId="0" borderId="0" xfId="0" applyFont="1">
      <alignment vertical="center" wrapText="1"/>
    </xf>
    <xf numFmtId="0" fontId="22" fillId="35" borderId="0" xfId="0" applyFont="1" applyFill="1">
      <alignment vertical="center" wrapText="1"/>
    </xf>
    <xf numFmtId="0" fontId="22" fillId="0" borderId="0" xfId="0" applyFont="1">
      <alignment vertical="center" wrapText="1"/>
    </xf>
    <xf numFmtId="0" fontId="33" fillId="35" borderId="0" xfId="0" applyFont="1" applyFill="1">
      <alignment vertical="center" wrapText="1"/>
    </xf>
    <xf numFmtId="0" fontId="22" fillId="35" borderId="0" xfId="0" applyFont="1" applyFill="1">
      <alignment horizontal="right" vertical="center" wrapText="1" indent="1"/>
    </xf>
    <xf numFmtId="0" fontId="22" fillId="35" borderId="0" xfId="0" applyFont="1" applyFill="1">
      <alignment horizontal="center" vertical="center" wrapText="1"/>
    </xf>
    <xf numFmtId="0" fontId="32" fillId="0" borderId="0" xfId="0" applyFont="1">
      <alignment horizontal="center" vertical="center" wrapText="1"/>
    </xf>
    <xf numFmtId="0" fontId="34" fillId="35" borderId="0" xfId="0" applyFont="1" applyFill="1">
      <alignment horizontal="center" vertical="center" wrapText="1"/>
    </xf>
    <xf numFmtId="0" fontId="22" fillId="0" borderId="0" xfId="0" applyFont="1">
      <alignment vertical="center"/>
    </xf>
    <xf numFmtId="49" fontId="22" fillId="35" borderId="0" xfId="0" applyFont="1" applyFill="1" applyNumberFormat="1">
      <alignment horizontal="right" vertical="center" wrapText="1" indent="1"/>
    </xf>
    <xf numFmtId="49" fontId="33" fillId="35" borderId="0" xfId="0" applyFont="1" applyFill="1" applyNumberFormat="1">
      <alignment horizontal="center" vertical="center" wrapText="1"/>
    </xf>
    <xf numFmtId="0" fontId="22" fillId="0" borderId="0" xfId="0" applyFont="1">
      <alignment vertical="center" wrapText="1"/>
    </xf>
    <xf numFmtId="0" fontId="22" fillId="35" borderId="0" xfId="0" applyFont="1" applyFill="1">
      <alignment vertical="center" wrapText="1"/>
    </xf>
    <xf numFmtId="0" fontId="22" fillId="35" borderId="0" xfId="0" applyFont="1" applyFill="1">
      <alignment horizontal="right" vertical="center" wrapText="1"/>
    </xf>
    <xf numFmtId="49" fontId="0" fillId="35" borderId="0" xfId="0" applyFont="1" applyFill="1" applyNumberFormat="1">
      <alignment horizontal="right" vertical="center" wrapText="1" indent="1"/>
    </xf>
    <xf numFmtId="49" fontId="35" fillId="35" borderId="0" xfId="0" applyFont="1" applyFill="1" applyNumberFormat="1">
      <alignment horizontal="center" vertical="center" wrapText="1"/>
    </xf>
    <xf numFmtId="49" fontId="0" fillId="0" borderId="0" xfId="0" applyFont="1" applyNumberFormat="1">
      <alignment vertical="top"/>
    </xf>
    <xf numFmtId="49" fontId="0" fillId="0" borderId="0" xfId="0" applyFont="1" applyNumberFormat="1">
      <alignment vertical="top"/>
    </xf>
    <xf numFmtId="0" fontId="36" fillId="35" borderId="0" xfId="0" applyFont="1" applyFill="1">
      <alignment horizontal="center" vertical="center" wrapText="1"/>
    </xf>
    <xf numFmtId="0" fontId="36" fillId="0" borderId="0" xfId="0" applyFont="1">
      <alignment horizontal="center" vertical="center"/>
    </xf>
    <xf numFmtId="0" fontId="36" fillId="35" borderId="0" xfId="0" applyFont="1" applyFill="1">
      <alignment horizontal="center" vertical="center"/>
    </xf>
    <xf numFmtId="49" fontId="37" fillId="0" borderId="11" xfId="0" applyFont="1" applyBorder="1" applyNumberFormat="1">
      <alignment vertical="top" wrapText="1"/>
    </xf>
    <xf numFmtId="0" fontId="0" fillId="0" borderId="11" xfId="0" applyFont="1" applyBorder="1">
      <alignment vertical="top" wrapText="1"/>
    </xf>
    <xf numFmtId="0" fontId="22" fillId="35" borderId="0" xfId="0" applyFont="1" applyFill="1">
      <alignment horizontal="center" vertical="center" wrapText="1"/>
    </xf>
    <xf numFmtId="0" fontId="38" fillId="35" borderId="0" xfId="0" applyFont="1" applyFill="1">
      <alignment vertical="center" wrapText="1"/>
    </xf>
    <xf numFmtId="0" fontId="38" fillId="0" borderId="0" xfId="0" applyFont="1">
      <alignment vertical="center" wrapText="1"/>
    </xf>
    <xf numFmtId="0" fontId="31" fillId="0" borderId="0" xfId="0" applyFont="1">
      <alignment horizontal="left" vertical="center" wrapText="1"/>
    </xf>
    <xf numFmtId="49" fontId="31" fillId="0" borderId="0" xfId="0" applyFont="1" applyNumberFormat="1">
      <alignment horizontal="left" vertical="center" wrapText="1"/>
    </xf>
    <xf numFmtId="0" fontId="0" fillId="0" borderId="0" xfId="0" applyFont="1">
      <alignment vertical="top"/>
    </xf>
    <xf numFmtId="49" fontId="22" fillId="0" borderId="0" xfId="0" applyFont="1" applyNumberFormat="1">
      <alignment vertical="center" wrapText="1"/>
    </xf>
    <xf numFmtId="49" fontId="22" fillId="0" borderId="0" xfId="0" applyFont="1" applyNumberFormat="1">
      <alignment vertical="top"/>
    </xf>
    <xf numFmtId="0" fontId="22" fillId="0" borderId="0" xfId="0" applyFont="1">
      <alignment vertical="center" wrapText="1"/>
    </xf>
    <xf numFmtId="0" fontId="0" fillId="0" borderId="0" xfId="0" applyFont="1">
      <alignment vertical="center"/>
    </xf>
    <xf numFmtId="0" fontId="22" fillId="35" borderId="12" xfId="0" applyFont="1" applyFill="1" applyBorder="1">
      <alignment horizontal="center" vertical="center" wrapText="1"/>
    </xf>
    <xf numFmtId="49" fontId="22" fillId="36" borderId="12" xfId="0" applyFont="1" applyFill="1" applyBorder="1" applyNumberFormat="1">
      <alignment horizontal="left" vertical="center" wrapText="1"/>
      <protection locked="0"/>
    </xf>
    <xf numFmtId="49" fontId="39" fillId="37" borderId="13" xfId="0" applyFont="1" applyFill="1" applyBorder="1" applyNumberFormat="1">
      <alignment horizontal="left" vertical="center"/>
    </xf>
    <xf numFmtId="0" fontId="0" fillId="0" borderId="12" xfId="0" applyFont="1" applyBorder="1">
      <alignment horizontal="center" vertical="center" wrapText="1"/>
    </xf>
    <xf numFmtId="0" fontId="22" fillId="37" borderId="14" xfId="0" applyFont="1" applyFill="1" applyBorder="1">
      <alignment vertical="center" wrapText="1"/>
    </xf>
    <xf numFmtId="0" fontId="22" fillId="0" borderId="12" xfId="0" applyFont="1" applyBorder="1">
      <alignment horizontal="center" vertical="center" wrapText="1"/>
    </xf>
    <xf numFmtId="0" fontId="40" fillId="0" borderId="0" xfId="0" applyFont="1">
      <alignment vertical="center"/>
    </xf>
    <xf numFmtId="49" fontId="22" fillId="0" borderId="12" xfId="0" applyFont="1" applyBorder="1" applyNumberFormat="1">
      <alignment horizontal="center" vertical="center" wrapText="1"/>
    </xf>
    <xf numFmtId="0" fontId="22" fillId="35" borderId="12" xfId="0" applyFont="1" applyFill="1" applyBorder="1">
      <alignment horizontal="center" vertical="center"/>
    </xf>
    <xf numFmtId="49" fontId="22" fillId="36" borderId="12" xfId="0" applyFont="1" applyFill="1" applyBorder="1" applyNumberFormat="1">
      <alignment horizontal="left" vertical="center" wrapText="1"/>
      <protection locked="0"/>
    </xf>
    <xf numFmtId="0" fontId="31" fillId="0" borderId="0" xfId="0" applyFont="1">
      <alignment vertical="center" wrapText="1"/>
    </xf>
    <xf numFmtId="0" fontId="41" fillId="0" borderId="0" xfId="0" applyFont="1">
      <alignment vertical="center" wrapText="1"/>
    </xf>
    <xf numFmtId="49" fontId="22" fillId="0" borderId="0" xfId="0" applyFont="1" applyNumberFormat="1">
      <alignment vertical="top"/>
    </xf>
    <xf numFmtId="49" fontId="31" fillId="0" borderId="0" xfId="0" applyFont="1" applyNumberFormat="1">
      <alignment vertical="top"/>
    </xf>
    <xf numFmtId="49" fontId="22" fillId="0" borderId="0" xfId="0" applyFont="1" applyNumberFormat="1">
      <alignment vertical="top"/>
    </xf>
    <xf numFmtId="49" fontId="36" fillId="0" borderId="0" xfId="0" applyFont="1" applyNumberFormat="1">
      <alignment horizontal="center" vertical="center"/>
    </xf>
    <xf numFmtId="49" fontId="22" fillId="0" borderId="0" xfId="0" applyFont="1" applyNumberFormat="1">
      <alignment vertical="top"/>
    </xf>
    <xf numFmtId="0" fontId="22" fillId="35" borderId="0" xfId="0" applyFont="1" applyFill="1"/>
    <xf numFmtId="0" fontId="42" fillId="35" borderId="0" xfId="0" applyFont="1" applyFill="1">
      <alignment horizontal="center" vertical="center" wrapText="1"/>
    </xf>
    <xf numFmtId="0" fontId="31" fillId="35" borderId="0" xfId="0" applyFont="1" applyFill="1"/>
    <xf numFmtId="49" fontId="22" fillId="0" borderId="0" xfId="0" applyFont="1" applyNumberFormat="1">
      <alignment vertical="top"/>
    </xf>
    <xf numFmtId="49" fontId="36" fillId="0" borderId="0" xfId="0" applyFont="1" applyNumberFormat="1">
      <alignment horizontal="center" vertical="center" wrapText="1"/>
    </xf>
    <xf numFmtId="0" fontId="22" fillId="35" borderId="12" xfId="0" applyFont="1" applyFill="1" applyBorder="1">
      <alignment horizontal="center" vertical="center" wrapText="1"/>
    </xf>
    <xf numFmtId="49" fontId="22" fillId="0" borderId="12" xfId="0" applyFont="1" applyBorder="1" applyNumberFormat="1">
      <alignment horizontal="center" vertical="center" wrapText="1"/>
    </xf>
    <xf numFmtId="49" fontId="43" fillId="37" borderId="15" xfId="0" applyFont="1" applyFill="1" applyBorder="1" applyNumberFormat="1">
      <alignment horizontal="center" vertical="top"/>
    </xf>
    <xf numFmtId="49" fontId="39" fillId="37" borderId="15" xfId="0" applyFont="1" applyFill="1" applyBorder="1" applyNumberFormat="1">
      <alignment horizontal="left" vertical="center"/>
    </xf>
    <xf numFmtId="49" fontId="22" fillId="0" borderId="0" xfId="0" applyFont="1" applyNumberFormat="1">
      <alignment horizontal="center" vertical="top"/>
    </xf>
    <xf numFmtId="0" fontId="40" fillId="0" borderId="0" xfId="0" applyFont="1">
      <alignment vertical="center"/>
    </xf>
    <xf numFmtId="0" fontId="0" fillId="0" borderId="0" xfId="0" applyFont="1">
      <alignment horizontal="center" vertical="center" wrapText="1"/>
    </xf>
    <xf numFmtId="49" fontId="22" fillId="0" borderId="0" xfId="0" applyFont="1" applyNumberFormat="1">
      <alignment horizontal="center" vertical="center" wrapText="1"/>
    </xf>
    <xf numFmtId="49" fontId="22" fillId="0" borderId="0" xfId="0" applyFont="1" applyNumberFormat="1">
      <alignment vertical="center" wrapText="1"/>
    </xf>
    <xf numFmtId="0" fontId="36" fillId="35" borderId="0" xfId="0" applyFont="1" applyFill="1">
      <alignment horizontal="center" vertical="center" wrapText="1"/>
    </xf>
    <xf numFmtId="49" fontId="44" fillId="0" borderId="0" xfId="0" applyFont="1" applyNumberFormat="1">
      <alignment horizontal="right" vertical="top"/>
    </xf>
    <xf numFmtId="49" fontId="44" fillId="0" borderId="0" xfId="0" applyFont="1" applyNumberFormat="1">
      <alignment vertical="top"/>
    </xf>
    <xf numFmtId="0" fontId="22" fillId="0" borderId="0" xfId="0" applyFont="1">
      <alignment horizontal="center" vertical="center" wrapText="1"/>
    </xf>
    <xf numFmtId="49" fontId="22" fillId="0" borderId="0" xfId="0" applyFont="1" applyNumberFormat="1">
      <alignment vertical="top"/>
    </xf>
    <xf numFmtId="0" fontId="0" fillId="0" borderId="0" xfId="0" applyFont="1">
      <alignment vertical="center"/>
    </xf>
    <xf numFmtId="0" fontId="45" fillId="0" borderId="0" xfId="0" applyFont="1">
      <alignment vertical="center" wrapText="1"/>
    </xf>
    <xf numFmtId="49" fontId="22" fillId="0" borderId="16" xfId="0" applyFont="1" applyBorder="1" applyNumberFormat="1">
      <alignment vertical="top"/>
    </xf>
    <xf numFmtId="0" fontId="29" fillId="0" borderId="0" xfId="0" applyFont="1"/>
    <xf numFmtId="49" fontId="46" fillId="0" borderId="0" xfId="0" applyFont="1" applyNumberFormat="1">
      <alignment vertical="top"/>
    </xf>
    <xf numFmtId="0" fontId="46" fillId="0" borderId="0" xfId="0" applyFont="1">
      <alignment vertical="center" wrapText="1"/>
    </xf>
    <xf numFmtId="49" fontId="0" fillId="35" borderId="12" xfId="0" applyFont="1" applyFill="1" applyBorder="1" applyNumberFormat="1">
      <alignment horizontal="center" vertical="center" wrapText="1"/>
    </xf>
    <xf numFmtId="0" fontId="31" fillId="0" borderId="0" xfId="0" applyFont="1">
      <alignment horizontal="left" vertical="center" wrapText="1"/>
    </xf>
    <xf numFmtId="49" fontId="22" fillId="0" borderId="12" xfId="0" applyFont="1" applyBorder="1" applyNumberFormat="1">
      <alignment horizontal="left" vertical="center" wrapText="1"/>
    </xf>
    <xf numFmtId="0" fontId="22" fillId="35" borderId="17" xfId="0" applyFont="1" applyFill="1" applyBorder="1">
      <alignment horizontal="center" vertical="center"/>
    </xf>
    <xf numFmtId="0" fontId="22" fillId="0" borderId="12" xfId="0" applyFont="1" applyBorder="1">
      <alignment vertical="center" wrapText="1"/>
    </xf>
    <xf numFmtId="0" fontId="47" fillId="0" borderId="0" xfId="0" applyFont="1">
      <alignment vertical="center" wrapText="1"/>
    </xf>
    <xf numFmtId="0" fontId="47" fillId="0" borderId="0" xfId="0" applyFont="1">
      <alignment vertical="center"/>
    </xf>
    <xf numFmtId="0" fontId="48" fillId="0" borderId="0" xfId="0" applyFont="1">
      <alignment vertical="center"/>
    </xf>
    <xf numFmtId="0" fontId="47" fillId="0" borderId="0" xfId="0" applyFont="1">
      <alignment vertical="center"/>
    </xf>
    <xf numFmtId="0" fontId="47" fillId="0" borderId="0" xfId="0" applyFont="1">
      <alignment vertical="center"/>
    </xf>
    <xf numFmtId="0" fontId="0" fillId="0" borderId="0" xfId="0" applyFont="1">
      <alignment vertical="top" wrapText="1"/>
    </xf>
    <xf numFmtId="49" fontId="22" fillId="0" borderId="12" xfId="0" applyFont="1" applyBorder="1" applyNumberFormat="1">
      <alignment horizontal="center" vertical="center" wrapText="1"/>
    </xf>
    <xf numFmtId="0" fontId="45" fillId="0" borderId="18" xfId="0" applyFont="1" applyBorder="1">
      <alignment vertical="top" wrapText="1"/>
    </xf>
    <xf numFmtId="49" fontId="0" fillId="0" borderId="12" xfId="0" applyFont="1" applyBorder="1" applyNumberFormat="1">
      <alignment vertical="top" wrapText="1"/>
    </xf>
    <xf numFmtId="0" fontId="0" fillId="0" borderId="12" xfId="0" applyFont="1" applyBorder="1">
      <alignment vertical="top" wrapText="1"/>
    </xf>
    <xf numFmtId="0" fontId="1" fillId="0" borderId="0" xfId="0" applyFont="1"/>
    <xf numFmtId="0" fontId="0" fillId="0" borderId="0" xfId="0" applyFont="1"/>
    <xf numFmtId="0" fontId="36" fillId="0" borderId="0" xfId="0" applyFont="1">
      <alignment horizontal="center" vertical="center" wrapText="1"/>
    </xf>
    <xf numFmtId="0" fontId="36" fillId="0" borderId="0" xfId="0" applyFont="1">
      <alignment horizontal="center" vertical="center" wrapText="1"/>
    </xf>
    <xf numFmtId="0" fontId="22" fillId="0" borderId="0" xfId="0" applyFont="1">
      <alignment horizontal="right" vertical="center" wrapText="1"/>
    </xf>
    <xf numFmtId="4" fontId="22" fillId="0" borderId="0" xfId="0" applyFont="1" applyNumberFormat="1">
      <alignment horizontal="right" vertical="center" wrapText="1"/>
    </xf>
    <xf numFmtId="0" fontId="22" fillId="0" borderId="0" xfId="0" applyFont="1">
      <alignment horizontal="left" vertical="center" wrapText="1" indent="1"/>
    </xf>
    <xf numFmtId="49" fontId="22" fillId="0" borderId="0" xfId="0" applyFont="1" applyNumberFormat="1">
      <alignment vertical="top"/>
    </xf>
    <xf numFmtId="4" fontId="22" fillId="0" borderId="0" xfId="0" applyFont="1" applyNumberFormat="1">
      <alignment horizontal="center" vertical="center" wrapText="1"/>
    </xf>
    <xf numFmtId="0" fontId="46" fillId="0" borderId="0" xfId="0" applyFont="1">
      <alignment vertical="center"/>
    </xf>
    <xf numFmtId="180" fontId="22" fillId="0" borderId="12" xfId="0" applyFont="1" applyBorder="1" applyNumberFormat="1">
      <alignment horizontal="center" vertical="center" wrapText="1"/>
    </xf>
    <xf numFmtId="49" fontId="46" fillId="37" borderId="19" xfId="0" applyFont="1" applyFill="1" applyBorder="1" applyNumberFormat="1">
      <alignment horizontal="left" vertical="center" wrapText="1"/>
    </xf>
    <xf numFmtId="49" fontId="0" fillId="37" borderId="15" xfId="0" applyFont="1" applyFill="1" applyBorder="1" applyNumberFormat="1">
      <alignment horizontal="left" vertical="center"/>
    </xf>
    <xf numFmtId="49" fontId="46" fillId="37" borderId="20" xfId="0" applyFont="1" applyFill="1" applyBorder="1" applyNumberFormat="1">
      <alignment horizontal="left" vertical="center" wrapText="1"/>
    </xf>
    <xf numFmtId="0" fontId="35" fillId="0" borderId="0" xfId="0" applyFont="1">
      <alignment horizontal="center" vertical="center" wrapText="1"/>
    </xf>
    <xf numFmtId="49" fontId="49" fillId="37" borderId="15" xfId="0" applyFont="1" applyFill="1" applyBorder="1" applyNumberFormat="1">
      <alignment horizontal="right" vertical="center" wrapText="1"/>
    </xf>
    <xf numFmtId="49" fontId="22" fillId="37" borderId="15" xfId="0" applyFont="1" applyFill="1" applyBorder="1" applyNumberFormat="1">
      <alignment horizontal="right" vertical="center" wrapText="1"/>
    </xf>
    <xf numFmtId="49" fontId="22" fillId="37" borderId="13" xfId="0" applyFont="1" applyFill="1" applyBorder="1" applyNumberFormat="1">
      <alignment horizontal="right" vertical="center" wrapText="1"/>
    </xf>
    <xf numFmtId="0" fontId="22" fillId="0" borderId="21" xfId="0" applyFont="1" applyBorder="1">
      <alignment vertical="center" wrapText="1"/>
    </xf>
    <xf numFmtId="0" fontId="44" fillId="0" borderId="0" xfId="0" applyFont="1">
      <alignment vertical="center" wrapText="1"/>
    </xf>
    <xf numFmtId="0" fontId="50" fillId="0" borderId="0" xfId="0" applyFont="1">
      <alignment horizontal="center" vertical="center" wrapText="1"/>
    </xf>
    <xf numFmtId="49" fontId="0" fillId="35" borderId="0" xfId="0" applyFont="1" applyFill="1" applyNumberFormat="1">
      <alignment vertical="top"/>
    </xf>
    <xf numFmtId="49" fontId="51" fillId="38" borderId="0" xfId="0" applyFont="1" applyFill="1" applyNumberFormat="1">
      <alignment vertical="top"/>
    </xf>
    <xf numFmtId="49" fontId="51" fillId="0" borderId="0" xfId="0" applyFont="1" applyNumberFormat="1">
      <alignment vertical="top"/>
    </xf>
    <xf numFmtId="0" fontId="46" fillId="0" borderId="0" xfId="0" applyFont="1">
      <alignment vertical="center"/>
    </xf>
    <xf numFmtId="49" fontId="0" fillId="37" borderId="15" xfId="0" applyFont="1" applyFill="1" applyBorder="1" applyNumberFormat="1">
      <alignment horizontal="right" vertical="center" wrapText="1"/>
    </xf>
    <xf numFmtId="49" fontId="0" fillId="0" borderId="0" xfId="0" applyFont="1" applyNumberFormat="1">
      <alignment vertical="top"/>
    </xf>
    <xf numFmtId="0" fontId="49" fillId="0" borderId="11" xfId="0" applyFont="1" applyBorder="1">
      <alignment vertical="center" wrapText="1"/>
    </xf>
    <xf numFmtId="0" fontId="45" fillId="0" borderId="0" xfId="0" applyFont="1">
      <alignment vertical="top" wrapText="1"/>
    </xf>
    <xf numFmtId="0" fontId="22" fillId="0" borderId="11" xfId="0" applyFont="1" applyBorder="1">
      <alignment vertical="center" wrapText="1"/>
    </xf>
    <xf numFmtId="49" fontId="22" fillId="0" borderId="0" xfId="0" applyFont="1" applyNumberFormat="1">
      <alignment vertical="top"/>
    </xf>
    <xf numFmtId="0" fontId="22" fillId="35" borderId="0" xfId="0" applyFont="1" applyFill="1">
      <alignment horizontal="right" vertical="center"/>
    </xf>
    <xf numFmtId="0" fontId="0" fillId="0" borderId="12" xfId="0" applyFont="1" applyBorder="1">
      <alignment horizontal="left" vertical="center" wrapText="1" indent="1"/>
    </xf>
    <xf numFmtId="0" fontId="0" fillId="39" borderId="12" xfId="0" applyFont="1" applyFill="1" applyBorder="1">
      <alignment horizontal="left" vertical="center" wrapText="1" indent="2"/>
      <protection locked="0"/>
    </xf>
    <xf numFmtId="49" fontId="47" fillId="0" borderId="0" xfId="0" applyFont="1" applyNumberFormat="1">
      <alignment vertical="top"/>
    </xf>
    <xf numFmtId="0" fontId="0" fillId="0" borderId="12" xfId="0" applyFont="1" applyBorder="1">
      <alignment vertical="center" wrapText="1"/>
    </xf>
    <xf numFmtId="0" fontId="0" fillId="0" borderId="12" xfId="0" applyFont="1" applyBorder="1">
      <alignment horizontal="center" vertical="center" wrapText="1"/>
    </xf>
    <xf numFmtId="0" fontId="0" fillId="39" borderId="12" xfId="0" applyFont="1" applyFill="1" applyBorder="1">
      <alignment horizontal="left" vertical="center" wrapText="1" indent="1"/>
      <protection locked="0"/>
    </xf>
    <xf numFmtId="49" fontId="39" fillId="37" borderId="15" xfId="0" applyFont="1" applyFill="1" applyBorder="1" applyNumberFormat="1">
      <alignment horizontal="left" vertical="center" indent="3"/>
    </xf>
    <xf numFmtId="49" fontId="43" fillId="37" borderId="13" xfId="0" applyFont="1" applyFill="1" applyBorder="1" applyNumberFormat="1">
      <alignment horizontal="center" vertical="top"/>
    </xf>
    <xf numFmtId="0" fontId="45" fillId="0" borderId="0" xfId="0" applyFont="1">
      <alignment horizontal="right" vertical="top" wrapText="1"/>
    </xf>
    <xf numFmtId="49" fontId="39" fillId="37" borderId="15" xfId="0" applyFont="1" applyFill="1" applyBorder="1" applyNumberFormat="1">
      <alignment horizontal="left" vertical="center" indent="1"/>
    </xf>
    <xf numFmtId="49" fontId="39" fillId="37" borderId="15" xfId="0" applyFont="1" applyFill="1" applyBorder="1" applyNumberFormat="1">
      <alignment horizontal="left" vertical="center" indent="2"/>
    </xf>
    <xf numFmtId="0" fontId="0" fillId="0" borderId="12" xfId="0" applyFont="1" applyBorder="1">
      <alignment horizontal="left" vertical="center" wrapText="1" indent="1"/>
    </xf>
    <xf numFmtId="0" fontId="0" fillId="0" borderId="12" xfId="0" applyFont="1" applyBorder="1">
      <alignment horizontal="left" vertical="center" wrapText="1" indent="2"/>
    </xf>
    <xf numFmtId="49" fontId="22" fillId="40" borderId="12" xfId="0" applyFont="1" applyFill="1" applyBorder="1" applyNumberFormat="1">
      <alignment horizontal="left" vertical="center" wrapText="1"/>
    </xf>
    <xf numFmtId="0" fontId="22" fillId="0" borderId="12" xfId="0" applyFont="1" applyBorder="1">
      <alignment vertical="top" wrapText="1"/>
    </xf>
    <xf numFmtId="0" fontId="36" fillId="0" borderId="0" xfId="0" applyFont="1">
      <alignment horizontal="center" vertical="center" wrapText="1"/>
    </xf>
    <xf numFmtId="49" fontId="0" fillId="0" borderId="17" xfId="0" applyFont="1" applyBorder="1" applyNumberFormat="1">
      <alignment vertical="top"/>
    </xf>
    <xf numFmtId="0" fontId="47" fillId="0" borderId="0" xfId="0" applyFont="1">
      <alignment vertical="center"/>
    </xf>
    <xf numFmtId="0" fontId="52" fillId="0" borderId="0" xfId="0" applyFont="1">
      <alignment vertical="center"/>
    </xf>
    <xf numFmtId="49" fontId="53" fillId="39" borderId="12" xfId="0" applyFont="1" applyFill="1" applyBorder="1" applyNumberFormat="1">
      <alignment horizontal="left" vertical="center" wrapText="1"/>
      <protection locked="0"/>
    </xf>
    <xf numFmtId="49" fontId="43" fillId="37" borderId="13" xfId="0" applyFont="1" applyFill="1" applyBorder="1" applyNumberFormat="1">
      <alignment horizontal="center" vertical="top"/>
    </xf>
    <xf numFmtId="0" fontId="0" fillId="34" borderId="12" xfId="0" applyFont="1" applyFill="1" applyBorder="1">
      <alignment horizontal="left" vertical="center" wrapText="1" indent="1"/>
    </xf>
    <xf numFmtId="49" fontId="22" fillId="39" borderId="12" xfId="0" applyFont="1" applyFill="1" applyBorder="1" applyNumberFormat="1">
      <alignment horizontal="left" vertical="center" wrapText="1" indent="1"/>
      <protection locked="0"/>
    </xf>
    <xf numFmtId="49" fontId="22" fillId="34" borderId="12" xfId="0" applyFont="1" applyFill="1" applyBorder="1" applyNumberFormat="1">
      <alignment horizontal="left" vertical="center" wrapText="1" indent="1"/>
    </xf>
    <xf numFmtId="49" fontId="22" fillId="0" borderId="12" xfId="0" applyFont="1" applyBorder="1" applyNumberFormat="1">
      <alignment horizontal="left" vertical="center" wrapText="1" indent="1"/>
    </xf>
    <xf numFmtId="0" fontId="22" fillId="0" borderId="12" xfId="0" applyFont="1" applyBorder="1">
      <alignment horizontal="center" vertical="center" wrapText="1"/>
    </xf>
    <xf numFmtId="0" fontId="45" fillId="0" borderId="0" xfId="0" applyFont="1">
      <alignment vertical="center" wrapText="1"/>
    </xf>
    <xf numFmtId="0" fontId="47" fillId="0" borderId="0" xfId="0" applyFont="1">
      <alignment horizontal="center" vertical="center" wrapText="1"/>
    </xf>
    <xf numFmtId="0" fontId="0" fillId="0" borderId="12" xfId="0" applyFont="1" applyBorder="1">
      <alignment horizontal="left" vertical="center" wrapText="1"/>
    </xf>
    <xf numFmtId="49" fontId="35" fillId="0" borderId="15" xfId="0" applyFont="1" applyBorder="1" applyNumberFormat="1">
      <alignment horizontal="center" vertical="center" wrapText="1"/>
    </xf>
    <xf numFmtId="0" fontId="54" fillId="0" borderId="0" xfId="0" applyFont="1">
      <alignment vertical="center"/>
    </xf>
    <xf numFmtId="0" fontId="55" fillId="0" borderId="0" xfId="0" applyFont="1">
      <alignment vertical="center"/>
    </xf>
    <xf numFmtId="0" fontId="47" fillId="0" borderId="0" xfId="0" applyFont="1">
      <alignment vertical="center"/>
    </xf>
    <xf numFmtId="0" fontId="47" fillId="0" borderId="0" xfId="0" applyFont="1">
      <alignment horizontal="left" vertical="center" wrapText="1" indent="1"/>
    </xf>
    <xf numFmtId="0" fontId="46" fillId="0" borderId="0" xfId="0" applyFont="1">
      <alignment horizontal="left" vertical="center" wrapText="1" indent="1"/>
    </xf>
    <xf numFmtId="0" fontId="56" fillId="0" borderId="0" xfId="0" applyFont="1">
      <alignment horizontal="left" vertical="center" wrapText="1" indent="1"/>
    </xf>
    <xf numFmtId="0" fontId="57" fillId="0" borderId="0" xfId="0" applyFont="1">
      <alignment horizontal="left" vertical="center" indent="1"/>
    </xf>
    <xf numFmtId="0" fontId="56" fillId="0" borderId="0" xfId="0" applyFont="1">
      <alignment vertical="center" wrapText="1"/>
    </xf>
    <xf numFmtId="0" fontId="58" fillId="0" borderId="0" xfId="0" applyFont="1">
      <alignment horizontal="left" vertical="center" wrapText="1"/>
    </xf>
    <xf numFmtId="0" fontId="59" fillId="0" borderId="0" xfId="0" applyFont="1">
      <alignment vertical="center" wrapText="1"/>
    </xf>
    <xf numFmtId="0" fontId="60" fillId="35" borderId="0" xfId="0" applyFont="1" applyFill="1">
      <alignment vertical="center" wrapText="1"/>
    </xf>
    <xf numFmtId="0" fontId="61" fillId="35" borderId="0" xfId="0" applyFont="1" applyFill="1">
      <alignment horizontal="right" vertical="center" wrapText="1" indent="1"/>
    </xf>
    <xf numFmtId="0" fontId="60" fillId="0" borderId="0" xfId="0" applyFont="1">
      <alignment vertical="center" wrapText="1"/>
    </xf>
    <xf numFmtId="0" fontId="60" fillId="35" borderId="0" xfId="0" applyFont="1" applyFill="1">
      <alignment horizontal="right" vertical="center" wrapText="1" indent="1"/>
    </xf>
    <xf numFmtId="0" fontId="62" fillId="35" borderId="0" xfId="0" applyFont="1" applyFill="1">
      <alignment horizontal="center" vertical="center" wrapText="1"/>
    </xf>
    <xf numFmtId="0" fontId="58" fillId="35" borderId="0" xfId="0" applyFont="1" applyFill="1">
      <alignment horizontal="center" vertical="center" wrapText="1"/>
    </xf>
    <xf numFmtId="0" fontId="60" fillId="35" borderId="0" xfId="0" applyFont="1" applyFill="1">
      <alignment horizontal="left" vertical="center" wrapText="1" indent="1"/>
    </xf>
    <xf numFmtId="0" fontId="63" fillId="0" borderId="0" xfId="0" applyFont="1">
      <alignment horizontal="left" vertical="center" wrapText="1"/>
    </xf>
    <xf numFmtId="0" fontId="63" fillId="0" borderId="0" xfId="0" applyFont="1">
      <alignment vertical="center" wrapText="1"/>
    </xf>
    <xf numFmtId="0" fontId="60" fillId="0" borderId="0" xfId="0" applyFont="1">
      <alignment vertical="center" wrapText="1"/>
    </xf>
    <xf numFmtId="0" fontId="60" fillId="0" borderId="0" xfId="0" applyFont="1">
      <alignment horizontal="right" vertical="center"/>
    </xf>
    <xf numFmtId="49" fontId="22" fillId="0" borderId="0" xfId="0" applyFont="1" applyNumberFormat="1">
      <alignment vertical="center" wrapText="1"/>
    </xf>
    <xf numFmtId="0" fontId="0" fillId="0" borderId="0" xfId="0" applyFont="1">
      <alignment horizontal="left" vertical="center" indent="1"/>
    </xf>
    <xf numFmtId="0" fontId="47" fillId="0" borderId="0" xfId="0" applyFont="1">
      <alignment horizontal="left" vertical="center" indent="1"/>
    </xf>
    <xf numFmtId="0" fontId="47" fillId="0" borderId="0" xfId="0" applyFont="1">
      <alignment horizontal="left" vertical="center" indent="1"/>
    </xf>
    <xf numFmtId="0" fontId="47" fillId="0" borderId="22" xfId="0" applyFont="1" applyBorder="1">
      <alignment vertical="center"/>
    </xf>
    <xf numFmtId="0" fontId="22" fillId="0" borderId="12" xfId="0" applyFont="1" applyBorder="1">
      <alignment horizontal="center" vertical="center" wrapText="1"/>
    </xf>
    <xf numFmtId="0" fontId="0" fillId="0" borderId="12" xfId="0" applyFont="1" applyBorder="1">
      <alignment horizontal="center" vertical="center"/>
    </xf>
    <xf numFmtId="49" fontId="0" fillId="0" borderId="12" xfId="0" applyFont="1" applyBorder="1" applyNumberFormat="1">
      <alignment horizontal="center" vertical="center"/>
    </xf>
    <xf numFmtId="49" fontId="0" fillId="0" borderId="12" xfId="0" applyFont="1" applyBorder="1" applyNumberFormat="1">
      <alignment horizontal="left" vertical="center"/>
    </xf>
    <xf numFmtId="49" fontId="22" fillId="0" borderId="0" xfId="0" applyFont="1" applyNumberFormat="1">
      <alignment vertical="top"/>
    </xf>
    <xf numFmtId="0" fontId="22" fillId="0" borderId="0" xfId="0" applyFont="1">
      <alignment horizontal="left" vertical="center" wrapText="1" indent="2"/>
    </xf>
    <xf numFmtId="0" fontId="22" fillId="0" borderId="12" xfId="0" applyFont="1" applyBorder="1">
      <alignment vertical="top" wrapText="1"/>
    </xf>
    <xf numFmtId="0" fontId="0" fillId="39" borderId="12" xfId="0" applyFont="1" applyFill="1" applyBorder="1">
      <alignment horizontal="left" vertical="center" wrapText="1"/>
      <protection locked="0"/>
    </xf>
    <xf numFmtId="0" fontId="22" fillId="0" borderId="12" xfId="0" applyFont="1" applyBorder="1">
      <alignment horizontal="left" vertical="top" wrapText="1"/>
    </xf>
    <xf numFmtId="0" fontId="22" fillId="0" borderId="12" xfId="0" applyFont="1" applyBorder="1">
      <alignment horizontal="left" vertical="center" wrapText="1"/>
    </xf>
    <xf numFmtId="0" fontId="22" fillId="0" borderId="12" xfId="0" applyFont="1" applyBorder="1">
      <alignment horizontal="center" vertical="center" wrapText="1"/>
    </xf>
    <xf numFmtId="49" fontId="22" fillId="0" borderId="17" xfId="0" applyFont="1" applyBorder="1" applyNumberFormat="1">
      <alignment horizontal="left" vertical="center" wrapText="1"/>
    </xf>
    <xf numFmtId="49" fontId="49" fillId="37" borderId="14" xfId="0" applyFont="1" applyFill="1" applyBorder="1" applyNumberFormat="1">
      <alignment horizontal="center" vertical="center"/>
    </xf>
    <xf numFmtId="49" fontId="39" fillId="37" borderId="13" xfId="0" applyFont="1" applyFill="1" applyBorder="1" applyNumberFormat="1">
      <alignment horizontal="left" vertical="center"/>
    </xf>
    <xf numFmtId="0" fontId="22" fillId="0" borderId="0" xfId="0" applyFont="1"/>
    <xf numFmtId="0" fontId="64" fillId="0" borderId="0" xfId="0" applyFont="1">
      <alignment vertical="center" wrapText="1"/>
    </xf>
    <xf numFmtId="0" fontId="64" fillId="0" borderId="0" xfId="0" applyFont="1">
      <alignment vertical="center" wrapText="1"/>
    </xf>
    <xf numFmtId="0" fontId="64" fillId="0" borderId="0" xfId="0" applyFont="1"/>
    <xf numFmtId="49" fontId="65" fillId="0" borderId="0" xfId="0" applyFont="1" applyNumberFormat="1">
      <alignment vertical="top"/>
    </xf>
    <xf numFmtId="49" fontId="66" fillId="0" borderId="0" xfId="0" applyFont="1" applyNumberFormat="1">
      <alignment vertical="top"/>
    </xf>
    <xf numFmtId="0" fontId="22" fillId="0" borderId="0" xfId="0" applyFont="1">
      <alignment horizontal="center" vertical="center" wrapText="1"/>
    </xf>
    <xf numFmtId="49" fontId="22" fillId="39" borderId="12" xfId="0" applyFont="1" applyFill="1" applyBorder="1" applyNumberFormat="1">
      <alignment horizontal="left" vertical="center" wrapText="1" indent="1"/>
      <protection locked="0"/>
    </xf>
    <xf numFmtId="0" fontId="47" fillId="0" borderId="0" xfId="0" applyFont="1">
      <alignment vertical="top"/>
    </xf>
    <xf numFmtId="49" fontId="47" fillId="0" borderId="0" xfId="0" applyFont="1" applyNumberFormat="1">
      <alignment vertical="top"/>
    </xf>
    <xf numFmtId="0" fontId="0" fillId="0" borderId="0" xfId="0" applyFont="1">
      <alignment vertical="top"/>
    </xf>
    <xf numFmtId="49" fontId="22" fillId="0" borderId="12" xfId="0" applyFont="1" applyBorder="1" applyNumberFormat="1">
      <alignment horizontal="right" vertical="center"/>
    </xf>
    <xf numFmtId="0" fontId="67" fillId="0" borderId="0" xfId="0" applyFont="1">
      <alignment vertical="center"/>
    </xf>
    <xf numFmtId="0" fontId="47" fillId="0" borderId="0" xfId="0" applyFont="1">
      <alignment vertical="center"/>
    </xf>
    <xf numFmtId="0" fontId="47" fillId="0" borderId="0" xfId="0" applyFont="1">
      <alignment vertical="center" wrapText="1"/>
    </xf>
    <xf numFmtId="0" fontId="22" fillId="0" borderId="12" xfId="0" applyFont="1" applyBorder="1">
      <alignment horizontal="left" vertical="center" wrapText="1"/>
    </xf>
    <xf numFmtId="0" fontId="68" fillId="0" borderId="0" xfId="0" applyFont="1">
      <alignment vertical="center"/>
    </xf>
    <xf numFmtId="49" fontId="35" fillId="35" borderId="0" xfId="0" applyFont="1" applyFill="1" applyNumberFormat="1">
      <alignment horizontal="center" vertical="center" wrapText="1"/>
    </xf>
    <xf numFmtId="0" fontId="0" fillId="0" borderId="0" xfId="0" applyFont="1">
      <alignment vertical="center"/>
    </xf>
    <xf numFmtId="0" fontId="22" fillId="0" borderId="12" xfId="0" applyFont="1" applyBorder="1">
      <alignment horizontal="center" vertical="center" wrapText="1"/>
    </xf>
    <xf numFmtId="49" fontId="22" fillId="0" borderId="12" xfId="0" applyFont="1" applyBorder="1" applyNumberFormat="1">
      <alignment horizontal="center" vertical="center" wrapText="1"/>
    </xf>
    <xf numFmtId="0" fontId="22" fillId="35" borderId="12" xfId="0" applyFont="1" applyFill="1" applyBorder="1">
      <alignment horizontal="left" vertical="center" wrapText="1" indent="4"/>
    </xf>
    <xf numFmtId="0" fontId="22" fillId="35" borderId="12" xfId="0" applyFont="1" applyFill="1" applyBorder="1">
      <alignment horizontal="left" vertical="center" wrapText="1" indent="5"/>
    </xf>
    <xf numFmtId="49" fontId="39" fillId="37" borderId="15" xfId="0" applyFont="1" applyFill="1" applyBorder="1" applyNumberFormat="1">
      <alignment horizontal="left" vertical="center" indent="5"/>
    </xf>
    <xf numFmtId="49" fontId="39" fillId="37" borderId="15" xfId="0" applyFont="1" applyFill="1" applyBorder="1" applyNumberFormat="1">
      <alignment horizontal="left" vertical="center" indent="6"/>
    </xf>
    <xf numFmtId="0" fontId="22" fillId="0" borderId="12" xfId="0" applyFont="1" applyBorder="1">
      <alignment vertical="center" wrapText="1"/>
    </xf>
    <xf numFmtId="0" fontId="45" fillId="0" borderId="0" xfId="0" applyFont="1">
      <alignment vertical="center" wrapText="1"/>
    </xf>
    <xf numFmtId="0" fontId="69" fillId="35" borderId="0" xfId="0" applyFont="1" applyFill="1">
      <alignment vertical="center" wrapText="1"/>
    </xf>
    <xf numFmtId="49" fontId="22" fillId="0" borderId="12" xfId="0" applyFont="1" applyBorder="1" applyNumberFormat="1">
      <alignment horizontal="center" vertical="center" wrapText="1"/>
    </xf>
    <xf numFmtId="49" fontId="0" fillId="0" borderId="0" xfId="0" applyFont="1" applyNumberFormat="1">
      <alignment vertical="top"/>
    </xf>
    <xf numFmtId="49" fontId="39" fillId="37" borderId="14" xfId="0" applyFont="1" applyFill="1" applyBorder="1" applyNumberFormat="1">
      <alignment horizontal="left" vertical="center" indent="1"/>
    </xf>
    <xf numFmtId="0" fontId="0" fillId="35" borderId="12" xfId="0" applyFont="1" applyFill="1" applyBorder="1">
      <alignment horizontal="right" vertical="center" wrapText="1" indent="1"/>
    </xf>
    <xf numFmtId="49" fontId="0" fillId="0" borderId="12" xfId="0" applyFont="1" applyBorder="1" applyNumberFormat="1">
      <alignment horizontal="left" vertical="center"/>
    </xf>
    <xf numFmtId="0" fontId="22" fillId="0" borderId="12" xfId="0" applyFont="1" applyBorder="1">
      <alignment vertical="top" wrapText="1"/>
    </xf>
    <xf numFmtId="0" fontId="22" fillId="0" borderId="12" xfId="0" applyFont="1" applyBorder="1">
      <alignment vertical="center" wrapText="1"/>
    </xf>
    <xf numFmtId="0" fontId="67" fillId="0" borderId="0" xfId="0" applyFont="1">
      <alignment vertical="center"/>
    </xf>
    <xf numFmtId="0" fontId="22" fillId="0" borderId="12" xfId="0" applyFont="1" applyBorder="1">
      <alignment horizontal="left" vertical="center" wrapText="1" indent="6"/>
    </xf>
    <xf numFmtId="0" fontId="22" fillId="0" borderId="17" xfId="0" applyFont="1" applyBorder="1">
      <alignment vertical="center" wrapText="1"/>
    </xf>
    <xf numFmtId="0" fontId="22" fillId="0" borderId="23" xfId="0" applyFont="1" applyBorder="1">
      <alignment vertical="center" wrapText="1"/>
    </xf>
    <xf numFmtId="49" fontId="0" fillId="37" borderId="13" xfId="0" applyFont="1" applyFill="1" applyBorder="1" applyNumberFormat="1">
      <alignment horizontal="center" vertical="center" wrapText="1"/>
    </xf>
    <xf numFmtId="0" fontId="0" fillId="0" borderId="14" xfId="0" applyFont="1" applyBorder="1">
      <alignment vertical="center"/>
    </xf>
    <xf numFmtId="0" fontId="0" fillId="35" borderId="14" xfId="0" applyFont="1" applyFill="1" applyBorder="1">
      <alignment horizontal="right" vertical="center" wrapText="1" indent="1"/>
    </xf>
    <xf numFmtId="49" fontId="31" fillId="0" borderId="0" xfId="0" applyFont="1" applyNumberFormat="1">
      <alignment vertical="top"/>
    </xf>
    <xf numFmtId="0" fontId="38" fillId="35" borderId="0" xfId="0" applyFont="1" applyFill="1">
      <alignment vertical="center" wrapText="1"/>
    </xf>
    <xf numFmtId="0" fontId="22" fillId="35" borderId="12" xfId="0" applyFont="1" applyFill="1" applyBorder="1">
      <alignment horizontal="left" vertical="center" wrapText="1" indent="1"/>
    </xf>
    <xf numFmtId="0" fontId="22" fillId="35" borderId="12" xfId="0" applyFont="1" applyFill="1" applyBorder="1">
      <alignment horizontal="left" vertical="center" wrapText="1" indent="2"/>
    </xf>
    <xf numFmtId="0" fontId="22" fillId="35" borderId="12" xfId="0" applyFont="1" applyFill="1" applyBorder="1">
      <alignment horizontal="left" vertical="center" wrapText="1" indent="3"/>
    </xf>
    <xf numFmtId="0" fontId="22" fillId="0" borderId="12" xfId="0" applyFont="1" applyBorder="1">
      <alignment horizontal="left" vertical="center" wrapText="1" indent="4"/>
    </xf>
    <xf numFmtId="49" fontId="39" fillId="37" borderId="14" xfId="0" applyFont="1" applyFill="1" applyBorder="1" applyNumberFormat="1">
      <alignment vertical="center" wrapText="1"/>
    </xf>
    <xf numFmtId="49" fontId="39" fillId="37" borderId="15" xfId="0" applyFont="1" applyFill="1" applyBorder="1" applyNumberFormat="1">
      <alignment vertical="center"/>
    </xf>
    <xf numFmtId="49" fontId="39" fillId="37" borderId="15" xfId="0" applyFont="1" applyFill="1" applyBorder="1" applyNumberFormat="1">
      <alignment vertical="center" wrapText="1"/>
    </xf>
    <xf numFmtId="0" fontId="22" fillId="0" borderId="0" xfId="0" applyFont="1">
      <alignment vertical="top" wrapText="1"/>
    </xf>
    <xf numFmtId="49" fontId="39" fillId="37" borderId="14" xfId="0" applyFont="1" applyFill="1" applyBorder="1" applyNumberFormat="1">
      <alignment horizontal="left" vertical="center"/>
    </xf>
    <xf numFmtId="0" fontId="39" fillId="37" borderId="14" xfId="0" applyFont="1" applyFill="1" applyBorder="1">
      <alignment horizontal="left" vertical="center"/>
    </xf>
    <xf numFmtId="0" fontId="39" fillId="37" borderId="15" xfId="0" applyFont="1" applyFill="1" applyBorder="1">
      <alignment horizontal="left" vertical="center"/>
    </xf>
    <xf numFmtId="0" fontId="39" fillId="37" borderId="13" xfId="0" applyFont="1" applyFill="1" applyBorder="1">
      <alignment horizontal="left" vertical="center"/>
    </xf>
    <xf numFmtId="0" fontId="0" fillId="0" borderId="0" xfId="0" applyFont="1">
      <alignment vertical="center"/>
    </xf>
    <xf numFmtId="49" fontId="0" fillId="0" borderId="0" xfId="0" applyFont="1" applyNumberFormat="1">
      <alignment vertical="center"/>
    </xf>
    <xf numFmtId="0" fontId="49" fillId="35" borderId="0" xfId="0" applyFont="1" applyFill="1">
      <alignment horizontal="center" vertical="center" wrapText="1"/>
    </xf>
    <xf numFmtId="0" fontId="22" fillId="0" borderId="0" xfId="0" applyFont="1">
      <alignment vertical="center" wrapText="1"/>
    </xf>
    <xf numFmtId="49" fontId="22" fillId="37" borderId="13" xfId="0" applyFont="1" applyFill="1" applyBorder="1" applyNumberFormat="1">
      <alignment horizontal="center" vertical="center" wrapText="1"/>
    </xf>
    <xf numFmtId="4" fontId="22" fillId="0" borderId="12" xfId="0" applyFont="1" applyBorder="1" applyNumberFormat="1">
      <alignment horizontal="right" vertical="center" wrapText="1"/>
    </xf>
    <xf numFmtId="0" fontId="22" fillId="0" borderId="0" xfId="0" applyFont="1">
      <alignment vertical="center" wrapText="1"/>
    </xf>
    <xf numFmtId="0" fontId="22" fillId="0" borderId="0" xfId="0" applyFont="1">
      <alignment vertical="center" wrapText="1"/>
    </xf>
    <xf numFmtId="4" fontId="47" fillId="0" borderId="12" xfId="0" applyFont="1" applyBorder="1" applyNumberFormat="1">
      <alignment horizontal="center" vertical="center" wrapText="1"/>
    </xf>
    <xf numFmtId="0" fontId="0" fillId="0" borderId="0" xfId="0" applyFont="1">
      <alignment vertical="center"/>
    </xf>
    <xf numFmtId="0" fontId="0" fillId="0" borderId="12" xfId="0" applyFont="1" applyBorder="1">
      <alignment horizontal="left" vertical="center" wrapText="1" indent="1"/>
    </xf>
    <xf numFmtId="49" fontId="70" fillId="0" borderId="14" xfId="0" applyFont="1" applyBorder="1" applyNumberFormat="1">
      <alignment horizontal="left" vertical="center" wrapText="1"/>
    </xf>
    <xf numFmtId="0" fontId="67" fillId="0" borderId="12" xfId="0" applyFont="1" applyBorder="1">
      <alignment horizontal="left" vertical="center" wrapText="1" indent="2"/>
    </xf>
    <xf numFmtId="49" fontId="67" fillId="0" borderId="12" xfId="0" applyFont="1" applyBorder="1" applyNumberFormat="1">
      <alignment horizontal="center" vertical="center" wrapText="1"/>
    </xf>
    <xf numFmtId="0" fontId="71" fillId="0" borderId="0" xfId="0" applyFont="1">
      <alignment vertical="center" wrapText="1"/>
    </xf>
    <xf numFmtId="0" fontId="22" fillId="0" borderId="0" xfId="0" applyFont="1">
      <alignment vertical="top"/>
    </xf>
    <xf numFmtId="0" fontId="22" fillId="0" borderId="0" xfId="0" applyFont="1">
      <alignment horizontal="right" vertical="top" wrapText="1"/>
    </xf>
    <xf numFmtId="0" fontId="22" fillId="0" borderId="17" xfId="0" applyFont="1" applyBorder="1">
      <alignment vertical="center" wrapText="1"/>
    </xf>
    <xf numFmtId="49" fontId="43" fillId="37" borderId="15" xfId="0" applyFont="1" applyFill="1" applyBorder="1" applyNumberFormat="1">
      <alignment horizontal="center" vertical="top"/>
    </xf>
    <xf numFmtId="0" fontId="22" fillId="0" borderId="23" xfId="0" applyFont="1" applyBorder="1">
      <alignment vertical="top" wrapText="1"/>
    </xf>
    <xf numFmtId="0" fontId="0" fillId="0" borderId="0" xfId="0" applyFont="1">
      <alignment horizontal="left" vertical="top" wrapText="1"/>
    </xf>
    <xf numFmtId="0" fontId="22" fillId="0" borderId="17" xfId="0" applyFont="1" applyBorder="1">
      <alignment vertical="top" wrapText="1"/>
    </xf>
    <xf numFmtId="0" fontId="22" fillId="0" borderId="0" xfId="0" applyFont="1">
      <alignment vertical="center" wrapText="1"/>
    </xf>
    <xf numFmtId="49" fontId="22" fillId="0" borderId="0" xfId="0" applyFont="1" applyNumberFormat="1">
      <alignment vertical="top"/>
    </xf>
    <xf numFmtId="0" fontId="38" fillId="0" borderId="0" xfId="0" applyFont="1">
      <alignment vertical="center" wrapText="1"/>
    </xf>
    <xf numFmtId="0" fontId="22" fillId="0" borderId="12" xfId="0" applyFont="1" applyBorder="1">
      <alignment vertical="center" wrapText="1"/>
    </xf>
    <xf numFmtId="49" fontId="22" fillId="0" borderId="0" xfId="0" applyFont="1" applyNumberFormat="1">
      <alignment horizontal="center" vertical="center" wrapText="1"/>
    </xf>
    <xf numFmtId="0" fontId="22" fillId="37" borderId="14" xfId="0" applyFont="1" applyFill="1" applyBorder="1">
      <alignment vertical="center" wrapText="1"/>
    </xf>
    <xf numFmtId="0" fontId="22" fillId="39" borderId="12" xfId="0" applyFont="1" applyFill="1" applyBorder="1">
      <alignment horizontal="left" vertical="center" wrapText="1" indent="1"/>
      <protection locked="0"/>
    </xf>
    <xf numFmtId="49" fontId="39" fillId="37" borderId="15" xfId="0" applyFont="1" applyFill="1" applyBorder="1" applyNumberFormat="1">
      <alignment horizontal="left" vertical="center" indent="2"/>
    </xf>
    <xf numFmtId="0" fontId="47" fillId="0" borderId="0" xfId="0" applyFont="1">
      <alignment vertical="center"/>
    </xf>
    <xf numFmtId="0" fontId="72" fillId="0" borderId="0" xfId="0" applyFont="1">
      <alignment vertical="center" wrapText="1"/>
    </xf>
    <xf numFmtId="0" fontId="41" fillId="35" borderId="0" xfId="0" applyFont="1" applyFill="1">
      <alignment horizontal="center" vertical="center" wrapText="1"/>
    </xf>
    <xf numFmtId="0" fontId="22" fillId="0" borderId="24" xfId="0" applyFont="1" applyBorder="1">
      <alignment vertical="center" wrapText="1"/>
    </xf>
    <xf numFmtId="0" fontId="36" fillId="0" borderId="0" xfId="0" applyFont="1">
      <alignment vertical="center" wrapText="1"/>
    </xf>
    <xf numFmtId="49" fontId="22" fillId="0" borderId="24" xfId="0" applyFont="1" applyBorder="1" applyNumberFormat="1">
      <alignment vertical="top"/>
    </xf>
    <xf numFmtId="0" fontId="47" fillId="0" borderId="24" xfId="0" applyFont="1" applyBorder="1">
      <alignment horizontal="center" vertical="center" wrapText="1"/>
    </xf>
    <xf numFmtId="0" fontId="47" fillId="0" borderId="24" xfId="0" applyFont="1" applyBorder="1">
      <alignment vertical="center" wrapText="1"/>
    </xf>
    <xf numFmtId="49" fontId="31" fillId="0" borderId="0" xfId="0" applyFont="1" applyNumberFormat="1">
      <alignment vertical="top"/>
    </xf>
    <xf numFmtId="49" fontId="0" fillId="0" borderId="24" xfId="0" applyFont="1" applyBorder="1" applyNumberFormat="1">
      <alignment vertical="top"/>
    </xf>
    <xf numFmtId="49" fontId="22" fillId="0" borderId="0" xfId="0" applyFont="1" applyNumberFormat="1">
      <alignment vertical="top"/>
    </xf>
    <xf numFmtId="49" fontId="22" fillId="0" borderId="0" xfId="0" applyFont="1" applyNumberFormat="1">
      <alignment vertical="center" wrapText="1"/>
    </xf>
    <xf numFmtId="0" fontId="31" fillId="0" borderId="0" xfId="0" applyFont="1">
      <alignment vertical="center" wrapText="1"/>
    </xf>
    <xf numFmtId="0" fontId="22" fillId="35" borderId="0" xfId="0" applyFont="1" applyFill="1">
      <alignment vertical="center" wrapText="1"/>
    </xf>
    <xf numFmtId="49" fontId="22" fillId="0" borderId="0" xfId="0" applyFont="1" applyNumberFormat="1">
      <alignment vertical="center" wrapText="1"/>
    </xf>
    <xf numFmtId="49" fontId="39" fillId="37" borderId="15" xfId="0" applyFont="1" applyFill="1" applyBorder="1" applyNumberFormat="1">
      <alignment horizontal="left" vertical="center" indent="4"/>
    </xf>
    <xf numFmtId="49" fontId="0"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0" fontId="47" fillId="0" borderId="0" xfId="0" applyFont="1">
      <alignment vertical="center"/>
    </xf>
    <xf numFmtId="0" fontId="22" fillId="0" borderId="0" xfId="0" applyFont="1">
      <alignment vertical="top" wrapText="1"/>
    </xf>
    <xf numFmtId="49" fontId="22" fillId="0" borderId="12" xfId="0" applyFont="1" applyBorder="1" applyNumberFormat="1">
      <alignment horizontal="right" vertical="top"/>
    </xf>
    <xf numFmtId="49" fontId="22" fillId="0" borderId="17" xfId="0" applyFont="1" applyBorder="1" applyNumberFormat="1">
      <alignment horizontal="right" vertical="top"/>
    </xf>
    <xf numFmtId="49" fontId="39" fillId="37" borderId="15" xfId="0" applyFont="1" applyFill="1" applyBorder="1" applyNumberFormat="1">
      <alignment horizontal="left" vertical="center" indent="3"/>
    </xf>
    <xf numFmtId="49" fontId="0" fillId="0" borderId="0" xfId="0" applyFont="1" applyNumberFormat="1">
      <alignment vertical="top"/>
    </xf>
    <xf numFmtId="0" fontId="22" fillId="0" borderId="0" xfId="0" applyFont="1">
      <alignment vertical="center" wrapText="1"/>
    </xf>
    <xf numFmtId="49" fontId="38" fillId="0" borderId="0" xfId="0" applyFont="1" applyNumberFormat="1">
      <alignment vertical="top"/>
    </xf>
    <xf numFmtId="0" fontId="38" fillId="35" borderId="0" xfId="0" applyFont="1" applyFill="1">
      <alignment vertical="center" wrapText="1"/>
    </xf>
    <xf numFmtId="49" fontId="22" fillId="39" borderId="12" xfId="0" applyFont="1" applyFill="1" applyBorder="1" applyNumberFormat="1">
      <alignment horizontal="left" vertical="center" wrapText="1"/>
      <protection locked="0"/>
    </xf>
    <xf numFmtId="49" fontId="22" fillId="36" borderId="12" xfId="0" applyFont="1" applyFill="1" applyBorder="1" applyNumberFormat="1">
      <alignment horizontal="left" vertical="center" wrapText="1"/>
      <protection locked="0"/>
    </xf>
    <xf numFmtId="49" fontId="47" fillId="0" borderId="0" xfId="0" applyFont="1" applyNumberFormat="1">
      <alignment vertical="top"/>
    </xf>
    <xf numFmtId="49" fontId="47" fillId="0" borderId="0" xfId="0" applyFont="1" applyNumberFormat="1">
      <alignment vertical="top"/>
    </xf>
    <xf numFmtId="49" fontId="22" fillId="39" borderId="12" xfId="0" applyFont="1" applyFill="1" applyBorder="1" applyNumberFormat="1">
      <alignment horizontal="left" vertical="center" wrapText="1"/>
      <protection locked="0"/>
    </xf>
    <xf numFmtId="49" fontId="53" fillId="39" borderId="12" xfId="0" applyFont="1" applyFill="1" applyBorder="1" applyNumberFormat="1">
      <alignment horizontal="left" vertical="center" wrapText="1"/>
      <protection locked="0"/>
    </xf>
    <xf numFmtId="49" fontId="0" fillId="0" borderId="25" xfId="0" applyFont="1" applyBorder="1" applyNumberFormat="1">
      <alignment horizontal="center" vertical="center"/>
    </xf>
    <xf numFmtId="177" fontId="22" fillId="0" borderId="12" xfId="0" applyFont="1" applyBorder="1" applyNumberFormat="1">
      <alignment horizontal="right" vertical="center" wrapText="1"/>
    </xf>
    <xf numFmtId="49" fontId="53" fillId="39" borderId="14" xfId="0" applyFont="1" applyFill="1" applyBorder="1" applyNumberFormat="1">
      <alignment horizontal="left" vertical="center" wrapText="1"/>
      <protection locked="0"/>
    </xf>
    <xf numFmtId="0" fontId="22" fillId="35" borderId="12" xfId="0" applyFont="1" applyFill="1" applyBorder="1">
      <alignment horizontal="center" vertical="center" wrapText="1"/>
    </xf>
    <xf numFmtId="0" fontId="36" fillId="35" borderId="0" xfId="0" applyFont="1" applyFill="1">
      <alignment horizontal="center" vertical="center" wrapText="1"/>
    </xf>
    <xf numFmtId="0" fontId="0" fillId="0" borderId="12" xfId="0" applyFont="1" applyBorder="1">
      <alignment horizontal="left" vertical="center" wrapText="1"/>
    </xf>
    <xf numFmtId="0" fontId="22" fillId="35" borderId="0" xfId="0" applyFont="1" applyFill="1">
      <alignment horizontal="center" vertical="center" wrapText="1"/>
    </xf>
    <xf numFmtId="0" fontId="49" fillId="0" borderId="0" xfId="0" applyFont="1">
      <alignment vertical="top" wrapText="1"/>
    </xf>
    <xf numFmtId="0" fontId="22" fillId="35" borderId="26" xfId="0" applyFont="1" applyFill="1" applyBorder="1">
      <alignment horizontal="right" vertical="center" wrapText="1" indent="1"/>
    </xf>
    <xf numFmtId="0" fontId="0" fillId="35" borderId="26" xfId="0" applyFont="1" applyFill="1" applyBorder="1">
      <alignment horizontal="right" vertical="center" wrapText="1" indent="1"/>
    </xf>
    <xf numFmtId="0" fontId="22" fillId="0" borderId="0" xfId="0" applyFont="1">
      <alignment horizontal="left" vertical="center" wrapText="1" indent="4"/>
    </xf>
    <xf numFmtId="0" fontId="22" fillId="35" borderId="0" xfId="0" applyFont="1" applyFill="1">
      <alignment horizontal="center" vertical="center" wrapText="1"/>
    </xf>
    <xf numFmtId="49" fontId="39" fillId="37" borderId="15" xfId="0" applyFont="1" applyFill="1" applyBorder="1" applyNumberFormat="1">
      <alignment horizontal="left" vertical="center"/>
    </xf>
    <xf numFmtId="0" fontId="22" fillId="0" borderId="19" xfId="0" applyFont="1" applyBorder="1">
      <alignment vertical="center" wrapText="1"/>
    </xf>
    <xf numFmtId="0" fontId="22" fillId="0" borderId="0" xfId="0" applyFont="1">
      <alignment horizontal="left" vertical="center" wrapText="1" indent="1"/>
    </xf>
    <xf numFmtId="0" fontId="71" fillId="0" borderId="0" xfId="0" applyFont="1">
      <alignment vertical="center" wrapText="1"/>
    </xf>
    <xf numFmtId="49" fontId="0" fillId="35" borderId="14" xfId="0" applyFont="1" applyFill="1" applyBorder="1" applyNumberFormat="1">
      <alignment horizontal="center" vertical="center" wrapText="1"/>
    </xf>
    <xf numFmtId="49" fontId="39" fillId="37" borderId="27" xfId="0" applyFont="1" applyFill="1" applyBorder="1" applyNumberFormat="1">
      <alignment horizontal="left" vertical="center" indent="2"/>
    </xf>
    <xf numFmtId="49" fontId="53" fillId="36" borderId="12" xfId="0" applyFont="1" applyFill="1" applyBorder="1" applyNumberFormat="1">
      <alignment horizontal="left" vertical="center" wrapText="1"/>
      <protection locked="0"/>
    </xf>
    <xf numFmtId="49" fontId="22" fillId="0" borderId="19" xfId="0" applyFont="1" applyBorder="1" applyNumberFormat="1">
      <alignment vertical="top"/>
    </xf>
    <xf numFmtId="49" fontId="73" fillId="37" borderId="13" xfId="0" applyFont="1" applyFill="1" applyBorder="1" applyNumberFormat="1">
      <alignment horizontal="left" vertical="center" indent="1"/>
    </xf>
    <xf numFmtId="49" fontId="73" fillId="37" borderId="15" xfId="0" applyFont="1" applyFill="1" applyBorder="1" applyNumberFormat="1">
      <alignment horizontal="left" vertical="center" indent="1"/>
    </xf>
    <xf numFmtId="49" fontId="49" fillId="37" borderId="14" xfId="0" applyFont="1" applyFill="1" applyBorder="1" applyNumberFormat="1">
      <alignment horizontal="center" vertical="center"/>
    </xf>
    <xf numFmtId="49" fontId="73" fillId="37" borderId="15" xfId="0" applyFont="1" applyFill="1" applyBorder="1" applyNumberFormat="1">
      <alignment vertical="center"/>
    </xf>
    <xf numFmtId="0" fontId="0" fillId="41" borderId="12" xfId="0" applyFont="1" applyFill="1" applyBorder="1">
      <alignment horizontal="right" vertical="center"/>
    </xf>
    <xf numFmtId="0" fontId="32" fillId="0" borderId="0" xfId="0" applyFont="1">
      <alignment vertical="center" wrapText="1"/>
    </xf>
    <xf numFmtId="0" fontId="22" fillId="0" borderId="0" xfId="0" applyFont="1">
      <alignment vertical="center" wrapText="1"/>
    </xf>
    <xf numFmtId="0" fontId="33" fillId="35" borderId="0" xfId="0" applyFont="1" applyFill="1">
      <alignment vertical="center" wrapText="1"/>
    </xf>
    <xf numFmtId="0" fontId="31" fillId="0" borderId="0" xfId="0" applyFont="1">
      <alignment horizontal="center" vertical="center" wrapText="1"/>
    </xf>
    <xf numFmtId="0" fontId="0" fillId="0" borderId="0" xfId="0" applyFont="1">
      <alignment vertical="center" wrapText="1"/>
    </xf>
    <xf numFmtId="0" fontId="31" fillId="0" borderId="0" xfId="0" applyFont="1">
      <alignment horizontal="left" vertical="center" wrapText="1"/>
    </xf>
    <xf numFmtId="0" fontId="0" fillId="0" borderId="12" xfId="0" applyFont="1" applyBorder="1">
      <alignment horizontal="center" vertical="center" wrapText="1"/>
    </xf>
    <xf numFmtId="49" fontId="39" fillId="37" borderId="15" xfId="0" applyFont="1" applyFill="1" applyBorder="1" applyNumberFormat="1">
      <alignment horizontal="left" vertical="center" indent="1"/>
    </xf>
    <xf numFmtId="49" fontId="39" fillId="37" borderId="15" xfId="0" applyFont="1" applyFill="1" applyBorder="1" applyNumberFormat="1">
      <alignment horizontal="left" vertical="center"/>
    </xf>
    <xf numFmtId="0" fontId="46" fillId="0" borderId="0" xfId="0" applyFont="1">
      <alignment vertical="center" wrapText="1"/>
    </xf>
    <xf numFmtId="0" fontId="0" fillId="0" borderId="0" xfId="0" applyFont="1">
      <alignment vertical="center"/>
    </xf>
    <xf numFmtId="49" fontId="47" fillId="0" borderId="0" xfId="0" applyFont="1" applyNumberFormat="1">
      <alignment vertical="top"/>
    </xf>
    <xf numFmtId="0" fontId="74" fillId="0" borderId="0" xfId="0" applyFont="1">
      <alignment vertical="center" wrapText="1"/>
    </xf>
    <xf numFmtId="49" fontId="49" fillId="37" borderId="14" xfId="0" applyFont="1" applyFill="1" applyBorder="1" applyNumberFormat="1">
      <alignment horizontal="right" vertical="center" wrapText="1"/>
    </xf>
    <xf numFmtId="49" fontId="46" fillId="0" borderId="0" xfId="0" applyFont="1" applyNumberFormat="1">
      <alignment vertical="top"/>
    </xf>
    <xf numFmtId="49" fontId="0" fillId="0" borderId="0" xfId="0" applyFont="1" applyNumberFormat="1">
      <alignment vertical="top"/>
    </xf>
    <xf numFmtId="49" fontId="0" fillId="37" borderId="13" xfId="0" applyFont="1" applyFill="1" applyBorder="1" applyNumberFormat="1">
      <alignment horizontal="right" vertical="center" wrapText="1"/>
    </xf>
    <xf numFmtId="0" fontId="0" fillId="0" borderId="12" xfId="0" applyFont="1" applyBorder="1">
      <alignment horizontal="center" vertical="center" wrapText="1"/>
    </xf>
    <xf numFmtId="0" fontId="58" fillId="0" borderId="0" xfId="0" applyFont="1">
      <alignment horizontal="left" vertical="center" wrapText="1"/>
    </xf>
    <xf numFmtId="0" fontId="59" fillId="0" borderId="0" xfId="0" applyFont="1">
      <alignment vertical="center" wrapText="1"/>
    </xf>
    <xf numFmtId="0" fontId="60" fillId="35" borderId="0" xfId="0" applyFont="1" applyFill="1">
      <alignment vertical="center" wrapText="1"/>
    </xf>
    <xf numFmtId="0" fontId="61" fillId="35" borderId="0" xfId="0" applyFont="1" applyFill="1">
      <alignment horizontal="right" vertical="center" wrapText="1" indent="1"/>
    </xf>
    <xf numFmtId="0" fontId="60" fillId="0" borderId="0" xfId="0" applyFont="1">
      <alignment vertical="center" wrapText="1"/>
    </xf>
    <xf numFmtId="0" fontId="0" fillId="0" borderId="14" xfId="0" applyFont="1" applyBorder="1">
      <alignment horizontal="center" vertical="center" wrapText="1"/>
    </xf>
    <xf numFmtId="0" fontId="0" fillId="36" borderId="12" xfId="0" applyFont="1" applyFill="1" applyBorder="1">
      <alignment horizontal="right" vertical="center" wrapText="1"/>
      <protection locked="0"/>
    </xf>
    <xf numFmtId="3" fontId="0" fillId="39" borderId="12" xfId="0" applyFont="1" applyFill="1" applyBorder="1" applyNumberFormat="1">
      <alignment horizontal="right" vertical="center" wrapText="1"/>
      <protection locked="0"/>
    </xf>
    <xf numFmtId="49" fontId="0" fillId="0" borderId="12" xfId="0" applyFont="1" applyBorder="1" applyNumberFormat="1">
      <alignment horizontal="center" vertical="center" wrapText="1"/>
    </xf>
    <xf numFmtId="49" fontId="0" fillId="0" borderId="12" xfId="0" applyFont="1" applyBorder="1" applyNumberFormat="1">
      <alignment vertical="top" wrapText="1"/>
    </xf>
    <xf numFmtId="0" fontId="0" fillId="35" borderId="14" xfId="0" applyFont="1" applyFill="1" applyBorder="1">
      <alignment horizontal="left" vertical="center" wrapText="1" indent="1"/>
    </xf>
    <xf numFmtId="0" fontId="0" fillId="35" borderId="17" xfId="0" applyFont="1" applyFill="1" applyBorder="1">
      <alignment horizontal="left" vertical="center" wrapText="1"/>
    </xf>
    <xf numFmtId="0" fontId="0" fillId="35" borderId="12" xfId="0" applyFont="1" applyFill="1" applyBorder="1">
      <alignment horizontal="left" vertical="center" wrapText="1"/>
    </xf>
    <xf numFmtId="0" fontId="0" fillId="35" borderId="12" xfId="0" applyFont="1" applyFill="1" applyBorder="1">
      <alignment horizontal="left" vertical="center" wrapText="1" indent="2"/>
    </xf>
    <xf numFmtId="0" fontId="0" fillId="35" borderId="12" xfId="0" applyFont="1" applyFill="1" applyBorder="1">
      <alignment horizontal="center" vertical="center"/>
    </xf>
    <xf numFmtId="49" fontId="0" fillId="39" borderId="12" xfId="0" applyFont="1" applyFill="1" applyBorder="1" applyNumberFormat="1">
      <alignment horizontal="left" vertical="center" wrapText="1"/>
      <protection locked="0"/>
    </xf>
    <xf numFmtId="0" fontId="0" fillId="35" borderId="12" xfId="0" applyFont="1" applyFill="1" applyBorder="1">
      <alignment horizontal="left" vertical="center" wrapText="1" indent="1"/>
    </xf>
    <xf numFmtId="0" fontId="0" fillId="0" borderId="12" xfId="0" applyFont="1" applyBorder="1">
      <alignment horizontal="center" vertical="center" wrapText="1"/>
    </xf>
    <xf numFmtId="0" fontId="0" fillId="35" borderId="12" xfId="0" applyFont="1" applyFill="1" applyBorder="1">
      <alignment vertical="center" wrapText="1"/>
    </xf>
    <xf numFmtId="49" fontId="0" fillId="35" borderId="12" xfId="0" applyFont="1" applyFill="1" applyBorder="1" applyNumberFormat="1">
      <alignment horizontal="center" vertical="center"/>
    </xf>
    <xf numFmtId="0" fontId="0" fillId="35" borderId="12" xfId="0" applyFont="1" applyFill="1" applyBorder="1">
      <alignment horizontal="center" vertical="center" wrapText="1"/>
    </xf>
    <xf numFmtId="0" fontId="22" fillId="0" borderId="0" xfId="0" applyFont="1">
      <alignment vertical="center" wrapText="1"/>
    </xf>
    <xf numFmtId="49" fontId="35" fillId="35" borderId="0" xfId="0" applyFont="1" applyFill="1" applyNumberFormat="1">
      <alignment horizontal="center" vertical="center" wrapText="1"/>
    </xf>
    <xf numFmtId="0" fontId="31" fillId="0" borderId="0" xfId="0" applyFont="1">
      <alignment vertical="center" wrapText="1"/>
    </xf>
    <xf numFmtId="0" fontId="36" fillId="35" borderId="0" xfId="0" applyFont="1" applyFill="1">
      <alignment horizontal="center" vertical="center" wrapText="1"/>
    </xf>
    <xf numFmtId="0" fontId="36" fillId="0" borderId="0" xfId="0" applyFont="1">
      <alignment horizontal="center" vertical="center" wrapText="1"/>
    </xf>
    <xf numFmtId="0" fontId="41" fillId="0" borderId="0" xfId="0" applyFont="1">
      <alignment vertical="center" wrapText="1"/>
    </xf>
    <xf numFmtId="0" fontId="45" fillId="0" borderId="0" xfId="0" applyFont="1">
      <alignment horizontal="center" vertical="center" wrapText="1"/>
    </xf>
    <xf numFmtId="0" fontId="44" fillId="0" borderId="0" xfId="0" applyFont="1">
      <alignment vertical="center" wrapText="1"/>
    </xf>
    <xf numFmtId="0" fontId="0" fillId="35" borderId="0" xfId="0" applyFont="1" applyFill="1"/>
    <xf numFmtId="0" fontId="0" fillId="35" borderId="0" xfId="0" applyFont="1" applyFill="1">
      <alignment horizontal="center"/>
    </xf>
    <xf numFmtId="0" fontId="22" fillId="35" borderId="0" xfId="0" applyFont="1" applyFill="1">
      <alignment vertical="center" wrapText="1"/>
    </xf>
    <xf numFmtId="0" fontId="75" fillId="35" borderId="0" xfId="0" applyFont="1" applyFill="1">
      <alignment horizontal="center"/>
    </xf>
    <xf numFmtId="0" fontId="75" fillId="35" borderId="0" xfId="0" applyFont="1" applyFill="1"/>
    <xf numFmtId="0" fontId="76" fillId="35" borderId="0" xfId="0" applyFont="1" applyFill="1"/>
    <xf numFmtId="0" fontId="77" fillId="35" borderId="0" xfId="0" applyFont="1" applyFill="1">
      <alignment horizontal="right" vertical="center"/>
    </xf>
    <xf numFmtId="0" fontId="77" fillId="35" borderId="0" xfId="0" applyFont="1" applyFill="1">
      <alignment horizontal="right" vertical="top"/>
    </xf>
    <xf numFmtId="0" fontId="22" fillId="35" borderId="0" xfId="0" applyFont="1" applyFill="1">
      <alignment horizontal="center" vertical="center" wrapText="1"/>
    </xf>
    <xf numFmtId="0" fontId="35" fillId="35" borderId="0" xfId="0" applyFont="1" applyFill="1">
      <alignment horizontal="center" vertical="center"/>
    </xf>
    <xf numFmtId="0" fontId="22" fillId="0" borderId="12" xfId="0" applyFont="1" applyBorder="1">
      <alignment horizontal="center" vertical="center" wrapText="1"/>
    </xf>
    <xf numFmtId="0" fontId="44" fillId="0" borderId="0" xfId="0" applyFont="1">
      <alignment vertical="top" wrapText="1"/>
    </xf>
    <xf numFmtId="0" fontId="22" fillId="37" borderId="14" xfId="0" applyFont="1" applyFill="1" applyBorder="1">
      <alignment horizontal="center"/>
    </xf>
    <xf numFmtId="0" fontId="73" fillId="37" borderId="15" xfId="0" applyFont="1" applyFill="1" applyBorder="1">
      <alignment horizontal="left" vertical="center"/>
    </xf>
    <xf numFmtId="0" fontId="73" fillId="37" borderId="13" xfId="0" applyFont="1" applyFill="1" applyBorder="1">
      <alignment horizontal="left" vertical="center"/>
    </xf>
    <xf numFmtId="0" fontId="78" fillId="35" borderId="0" xfId="0" applyFont="1" applyFill="1">
      <alignment vertical="center"/>
    </xf>
    <xf numFmtId="0" fontId="78" fillId="35" borderId="0" xfId="0" applyFont="1" applyFill="1">
      <alignment vertical="center" wrapText="1"/>
    </xf>
    <xf numFmtId="49" fontId="22" fillId="35" borderId="12" xfId="0" applyFont="1" applyFill="1" applyBorder="1" applyNumberFormat="1">
      <alignment horizontal="center" vertical="center" wrapText="1"/>
    </xf>
    <xf numFmtId="0" fontId="22" fillId="35" borderId="12" xfId="0" applyFont="1" applyFill="1" applyBorder="1">
      <alignment horizontal="center" vertical="center" wrapText="1"/>
    </xf>
    <xf numFmtId="0" fontId="22" fillId="35" borderId="12" xfId="0" applyFont="1" applyFill="1" applyBorder="1">
      <alignment vertical="center" wrapText="1"/>
    </xf>
    <xf numFmtId="0" fontId="65" fillId="35" borderId="0" xfId="0" applyFont="1" applyFill="1"/>
    <xf numFmtId="0" fontId="51" fillId="35" borderId="0" xfId="0" applyFont="1" applyFill="1"/>
    <xf numFmtId="0" fontId="61" fillId="35" borderId="0" xfId="0" applyFont="1" applyFill="1"/>
    <xf numFmtId="0" fontId="61" fillId="35" borderId="0" xfId="0" applyFont="1" applyFill="1">
      <alignment horizontal="center"/>
    </xf>
    <xf numFmtId="0" fontId="58" fillId="0" borderId="0" xfId="0" applyFont="1">
      <alignment vertical="center" wrapText="1"/>
    </xf>
    <xf numFmtId="0" fontId="60" fillId="0" borderId="0" xfId="0" applyFont="1">
      <alignment vertical="center" wrapText="1"/>
    </xf>
    <xf numFmtId="0" fontId="60" fillId="35" borderId="0" xfId="0" applyFont="1" applyFill="1">
      <alignment vertical="center" wrapText="1"/>
    </xf>
    <xf numFmtId="0" fontId="60" fillId="35" borderId="0" xfId="0" applyFont="1" applyFill="1">
      <alignment horizontal="right" vertical="center"/>
    </xf>
    <xf numFmtId="0" fontId="60" fillId="35" borderId="0" xfId="0" applyFont="1" applyFill="1">
      <alignment horizontal="right" vertical="center" wrapText="1"/>
    </xf>
    <xf numFmtId="4" fontId="60" fillId="0" borderId="0" xfId="0" applyFont="1" applyNumberFormat="1">
      <alignment horizontal="right" vertical="center" wrapText="1"/>
    </xf>
    <xf numFmtId="0" fontId="60" fillId="0" borderId="0" xfId="0" applyFont="1">
      <alignment horizontal="left" vertical="center" wrapText="1" indent="1"/>
    </xf>
    <xf numFmtId="0" fontId="79" fillId="35" borderId="0" xfId="0" applyFont="1" applyFill="1">
      <alignment horizontal="center" vertical="center" wrapText="1"/>
    </xf>
    <xf numFmtId="0" fontId="35" fillId="35" borderId="0" xfId="0" applyFont="1" applyFill="1">
      <alignment horizontal="center" vertical="center" wrapText="1"/>
    </xf>
    <xf numFmtId="0" fontId="64" fillId="0" borderId="0" xfId="0" applyFont="1">
      <alignment vertical="center" wrapText="1"/>
    </xf>
    <xf numFmtId="0" fontId="47" fillId="0" borderId="0" xfId="0" applyFont="1">
      <alignment vertical="center" wrapText="1"/>
    </xf>
    <xf numFmtId="49" fontId="22" fillId="40" borderId="12" xfId="0" applyFont="1" applyFill="1" applyBorder="1" applyNumberFormat="1">
      <alignment horizontal="left" vertical="center" wrapText="1"/>
    </xf>
    <xf numFmtId="0" fontId="64" fillId="0" borderId="0" xfId="0" applyFont="1">
      <alignment horizontal="center" vertical="center" wrapText="1"/>
    </xf>
    <xf numFmtId="0" fontId="22" fillId="35" borderId="24" xfId="0" applyFont="1" applyFill="1" applyBorder="1">
      <alignment vertical="center" wrapText="1"/>
    </xf>
    <xf numFmtId="49" fontId="35" fillId="35" borderId="15" xfId="0" applyFont="1" applyFill="1" applyBorder="1" applyNumberFormat="1">
      <alignment horizontal="center" vertical="center" wrapText="1"/>
    </xf>
    <xf numFmtId="0" fontId="47" fillId="0" borderId="0" xfId="0" applyFont="1">
      <alignment horizontal="center" vertical="center" wrapText="1"/>
    </xf>
    <xf numFmtId="0" fontId="79" fillId="0" borderId="0" xfId="0" applyFont="1">
      <alignment horizontal="center" vertical="center" wrapText="1"/>
    </xf>
    <xf numFmtId="0" fontId="72" fillId="0" borderId="0" xfId="0" applyFont="1">
      <alignment vertical="center" wrapText="1"/>
    </xf>
    <xf numFmtId="49" fontId="72" fillId="0" borderId="12" xfId="0" applyFont="1" applyBorder="1" applyNumberFormat="1">
      <alignment horizontal="left" vertical="center" wrapText="1"/>
    </xf>
    <xf numFmtId="0" fontId="80" fillId="35" borderId="0" xfId="0" applyFont="1" applyFill="1">
      <alignment horizontal="center" vertical="center" wrapText="1"/>
    </xf>
    <xf numFmtId="49" fontId="72" fillId="0" borderId="17" xfId="0" applyFont="1" applyBorder="1" applyNumberFormat="1">
      <alignment horizontal="left" vertical="center" wrapText="1"/>
    </xf>
    <xf numFmtId="0" fontId="47" fillId="0" borderId="0" xfId="0" applyFont="1">
      <alignment vertical="center"/>
    </xf>
    <xf numFmtId="0" fontId="47" fillId="35" borderId="0" xfId="0" applyFont="1" applyFill="1"/>
    <xf numFmtId="0" fontId="47" fillId="35" borderId="0" xfId="0" applyFont="1" applyFill="1">
      <alignment vertical="center" wrapText="1"/>
    </xf>
    <xf numFmtId="0" fontId="47" fillId="0" borderId="0" xfId="0" applyFont="1">
      <alignment vertical="center" wrapText="1"/>
    </xf>
    <xf numFmtId="49" fontId="22" fillId="0" borderId="0" xfId="0" applyFont="1" applyNumberFormat="1">
      <alignment vertical="top"/>
    </xf>
    <xf numFmtId="0" fontId="22" fillId="0" borderId="0" xfId="0" applyFont="1">
      <alignment vertical="center" wrapText="1"/>
    </xf>
    <xf numFmtId="0" fontId="36" fillId="35" borderId="0" xfId="0" applyFont="1" applyFill="1">
      <alignment horizontal="center" vertical="center" wrapText="1"/>
    </xf>
    <xf numFmtId="0" fontId="41" fillId="0" borderId="0" xfId="0" applyFont="1">
      <alignment vertical="center" wrapText="1"/>
    </xf>
    <xf numFmtId="49" fontId="22" fillId="0" borderId="12" xfId="0" applyFont="1" applyBorder="1" applyNumberFormat="1">
      <alignment horizontal="left" vertical="center" wrapText="1"/>
    </xf>
    <xf numFmtId="0" fontId="22" fillId="0" borderId="0" xfId="0" applyFont="1">
      <alignment vertical="center" wrapText="1"/>
    </xf>
    <xf numFmtId="49" fontId="47" fillId="0" borderId="0" xfId="0" applyFont="1" applyNumberFormat="1">
      <alignment vertical="center" wrapText="1"/>
    </xf>
    <xf numFmtId="0" fontId="47" fillId="0" borderId="0" xfId="0" applyFont="1">
      <alignment vertical="center" wrapText="1"/>
    </xf>
    <xf numFmtId="0" fontId="22" fillId="0" borderId="12" xfId="0" applyFont="1" applyBorder="1">
      <alignment horizontal="center" vertical="center" wrapText="1"/>
    </xf>
    <xf numFmtId="14"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14" fontId="81" fillId="37" borderId="15" xfId="0" applyFont="1" applyFill="1" applyBorder="1" applyNumberFormat="1">
      <alignment horizontal="center" vertical="center" wrapText="1"/>
    </xf>
    <xf numFmtId="0" fontId="47" fillId="0" borderId="0" xfId="0" applyFont="1">
      <alignment horizontal="left" vertical="center" wrapText="1"/>
    </xf>
    <xf numFmtId="49" fontId="47" fillId="0" borderId="0" xfId="0" applyFont="1" applyNumberFormat="1">
      <alignment horizontal="left" vertical="center" wrapText="1"/>
    </xf>
    <xf numFmtId="0" fontId="47" fillId="0" borderId="0" xfId="0" applyFont="1">
      <alignment vertical="center" wrapText="1"/>
    </xf>
    <xf numFmtId="49" fontId="53" fillId="0" borderId="12" xfId="0" applyFont="1" applyBorder="1" applyNumberFormat="1">
      <alignment horizontal="left" vertical="center" wrapText="1"/>
    </xf>
    <xf numFmtId="14" fontId="22" fillId="40" borderId="12" xfId="0" applyFont="1" applyFill="1" applyBorder="1" applyNumberFormat="1">
      <alignment horizontal="center" vertical="center" wrapText="1"/>
    </xf>
    <xf numFmtId="0" fontId="22" fillId="0" borderId="12" xfId="0" applyFont="1" applyBorder="1">
      <alignment horizontal="center" vertical="center" wrapText="1"/>
    </xf>
    <xf numFmtId="0" fontId="22" fillId="0" borderId="0" xfId="0" applyFont="1">
      <alignment horizontal="center" vertical="center" wrapText="1"/>
    </xf>
    <xf numFmtId="0" fontId="22" fillId="0" borderId="12" xfId="0" applyFont="1" applyBorder="1">
      <alignment horizontal="center" vertical="center" wrapText="1"/>
    </xf>
    <xf numFmtId="49" fontId="22" fillId="40" borderId="12" xfId="0" applyFont="1" applyFill="1" applyBorder="1" applyNumberFormat="1">
      <alignment horizontal="center" vertical="center" wrapText="1"/>
    </xf>
    <xf numFmtId="0" fontId="82" fillId="0" borderId="0" xfId="0" applyFont="1">
      <alignment horizontal="center" vertical="center" wrapText="1"/>
    </xf>
    <xf numFmtId="0" fontId="36" fillId="0" borderId="0" xfId="0" applyFont="1">
      <alignment horizontal="center" vertical="center" wrapText="1"/>
    </xf>
    <xf numFmtId="49" fontId="22" fillId="0" borderId="12" xfId="0" applyFont="1" applyBorder="1" applyNumberFormat="1">
      <alignment horizontal="center" vertical="center" wrapText="1"/>
    </xf>
    <xf numFmtId="0" fontId="0" fillId="35" borderId="14" xfId="0" applyFont="1" applyFill="1" applyBorder="1">
      <alignment horizontal="left" vertical="center" wrapText="1"/>
    </xf>
    <xf numFmtId="49" fontId="49" fillId="37" borderId="15" xfId="0" applyFont="1" applyFill="1" applyBorder="1" applyNumberFormat="1">
      <alignment horizontal="center" vertical="center"/>
    </xf>
    <xf numFmtId="0" fontId="32" fillId="0" borderId="0" xfId="0" applyFont="1">
      <alignment vertical="center" wrapText="1"/>
    </xf>
    <xf numFmtId="0" fontId="31" fillId="0" borderId="0" xfId="0" applyFont="1">
      <alignment horizontal="center" vertical="center" wrapText="1"/>
    </xf>
    <xf numFmtId="0" fontId="22" fillId="0" borderId="0" xfId="0" applyFont="1">
      <alignment horizontal="center" vertical="center" wrapText="1"/>
    </xf>
    <xf numFmtId="0" fontId="22" fillId="0" borderId="0" xfId="0" applyFont="1">
      <alignment vertical="center" wrapText="1"/>
    </xf>
    <xf numFmtId="0" fontId="46" fillId="0" borderId="0" xfId="0" applyFont="1">
      <alignment horizontal="center" vertical="center" wrapText="1"/>
    </xf>
    <xf numFmtId="0" fontId="83" fillId="0" borderId="0" xfId="0" applyFont="1">
      <alignment vertical="center" wrapText="1"/>
    </xf>
    <xf numFmtId="49" fontId="46" fillId="0" borderId="0" xfId="0" applyFont="1" applyNumberFormat="1">
      <alignment horizontal="center" vertical="center" wrapText="1"/>
    </xf>
    <xf numFmtId="0" fontId="46" fillId="0" borderId="0" xfId="0" applyFont="1">
      <alignment vertical="center" wrapText="1"/>
    </xf>
    <xf numFmtId="49" fontId="22" fillId="0" borderId="0" xfId="0" applyFont="1" applyNumberFormat="1">
      <alignment horizontal="center" vertical="top" wrapText="1"/>
    </xf>
    <xf numFmtId="49" fontId="22" fillId="0" borderId="12" xfId="0" applyFont="1" applyBorder="1" applyNumberFormat="1">
      <alignment horizontal="center" vertical="center" wrapText="1"/>
    </xf>
    <xf numFmtId="49" fontId="22" fillId="39" borderId="12" xfId="0" applyFont="1" applyFill="1" applyBorder="1" applyNumberFormat="1">
      <alignment vertical="center" wrapText="1"/>
      <protection locked="0"/>
    </xf>
    <xf numFmtId="4" fontId="22" fillId="36" borderId="12" xfId="0" applyFont="1" applyFill="1" applyBorder="1" applyNumberFormat="1">
      <alignment horizontal="right" vertical="center" wrapText="1"/>
      <protection locked="0"/>
    </xf>
    <xf numFmtId="0" fontId="22" fillId="0" borderId="13" xfId="0" applyFont="1" applyBorder="1">
      <alignment vertical="top" wrapText="1"/>
    </xf>
    <xf numFmtId="0" fontId="84" fillId="0" borderId="0" xfId="0" applyFont="1">
      <alignment vertical="center" wrapText="1"/>
    </xf>
    <xf numFmtId="0" fontId="54" fillId="0" borderId="0" xfId="0" applyFont="1">
      <alignment vertical="center" wrapText="1"/>
    </xf>
    <xf numFmtId="178" fontId="22" fillId="36" borderId="12" xfId="0" applyFont="1" applyFill="1" applyBorder="1" applyNumberFormat="1">
      <alignment horizontal="right" vertical="center" wrapText="1"/>
      <protection locked="0"/>
    </xf>
    <xf numFmtId="0" fontId="22" fillId="0" borderId="28" xfId="0" applyFont="1" applyBorder="1">
      <alignment horizontal="center" vertical="center" wrapText="1"/>
    </xf>
    <xf numFmtId="0" fontId="22" fillId="39" borderId="12" xfId="0" applyFont="1" applyFill="1" applyBorder="1">
      <alignment horizontal="left" vertical="center" wrapText="1" indent="2"/>
      <protection locked="0"/>
    </xf>
    <xf numFmtId="49" fontId="47" fillId="0" borderId="0" xfId="0" applyFont="1" applyNumberFormat="1">
      <alignment horizontal="center" vertical="center" wrapText="1"/>
    </xf>
    <xf numFmtId="0" fontId="47" fillId="0" borderId="28" xfId="0" applyFont="1" applyBorder="1">
      <alignment horizontal="center" vertical="center" wrapText="1"/>
    </xf>
    <xf numFmtId="0" fontId="47" fillId="0" borderId="12" xfId="0" applyFont="1" applyBorder="1">
      <alignment horizontal="left" vertical="center" wrapText="1" indent="2"/>
    </xf>
    <xf numFmtId="0" fontId="47" fillId="0" borderId="12" xfId="0" applyFont="1" applyBorder="1">
      <alignment horizontal="center" vertical="center" wrapText="1"/>
    </xf>
    <xf numFmtId="0" fontId="47" fillId="0" borderId="12" xfId="0" applyFont="1" applyBorder="1">
      <alignment vertical="center" wrapText="1"/>
    </xf>
    <xf numFmtId="0" fontId="22" fillId="0" borderId="12" xfId="0" applyFont="1" applyBorder="1">
      <alignment horizontal="left" vertical="center" wrapText="1" indent="3"/>
    </xf>
    <xf numFmtId="49" fontId="22" fillId="39" borderId="12" xfId="0" applyFont="1" applyFill="1" applyBorder="1" applyNumberFormat="1">
      <alignment horizontal="center" vertical="center" wrapText="1"/>
      <protection locked="0"/>
    </xf>
    <xf numFmtId="0" fontId="22" fillId="36" borderId="12" xfId="0" applyFont="1" applyFill="1" applyBorder="1">
      <alignment horizontal="left" vertical="center" wrapText="1"/>
      <protection locked="0"/>
    </xf>
    <xf numFmtId="0" fontId="45" fillId="0" borderId="0" xfId="0" applyFont="1">
      <alignment vertical="center" wrapText="1"/>
    </xf>
    <xf numFmtId="4" fontId="22" fillId="39" borderId="12" xfId="0" applyFont="1" applyFill="1" applyBorder="1" applyNumberFormat="1">
      <alignment horizontal="right" vertical="center" wrapText="1"/>
      <protection locked="0"/>
    </xf>
    <xf numFmtId="4" fontId="22" fillId="34" borderId="12" xfId="0" applyFont="1" applyFill="1" applyBorder="1" applyNumberFormat="1">
      <alignment horizontal="right" vertical="center" wrapText="1"/>
    </xf>
    <xf numFmtId="0" fontId="22" fillId="0" borderId="12" xfId="0" applyFont="1" applyBorder="1">
      <alignment horizontal="left" vertical="center" wrapText="1" indent="1"/>
    </xf>
    <xf numFmtId="49" fontId="72" fillId="0" borderId="0" xfId="0" applyFont="1" applyNumberFormat="1">
      <alignment horizontal="center" vertical="center" wrapText="1"/>
    </xf>
    <xf numFmtId="49" fontId="72" fillId="0" borderId="28" xfId="0" applyFont="1" applyBorder="1" applyNumberFormat="1">
      <alignment horizontal="center" vertical="center" wrapText="1"/>
    </xf>
    <xf numFmtId="0" fontId="72" fillId="0" borderId="12" xfId="0" applyFont="1" applyBorder="1">
      <alignment horizontal="left" vertical="center" wrapText="1" indent="2"/>
    </xf>
    <xf numFmtId="0" fontId="72" fillId="0" borderId="12" xfId="0" applyFont="1" applyBorder="1">
      <alignment horizontal="center" vertical="center" wrapText="1"/>
    </xf>
    <xf numFmtId="0" fontId="72" fillId="0" borderId="12" xfId="0" applyFont="1" applyBorder="1">
      <alignment vertical="center" wrapText="1"/>
    </xf>
    <xf numFmtId="0" fontId="85" fillId="0" borderId="0" xfId="0" applyFont="1">
      <alignment vertical="center" wrapText="1"/>
    </xf>
    <xf numFmtId="0" fontId="63" fillId="0" borderId="0" xfId="0" applyFont="1">
      <alignment vertical="center" wrapText="1"/>
    </xf>
    <xf numFmtId="0" fontId="72" fillId="0" borderId="28" xfId="0" applyFont="1" applyBorder="1">
      <alignment horizontal="center" vertical="center" wrapText="1"/>
    </xf>
    <xf numFmtId="0" fontId="72" fillId="0" borderId="12" xfId="0" applyFont="1" applyBorder="1">
      <alignment horizontal="left" vertical="center" wrapText="1" indent="3"/>
    </xf>
    <xf numFmtId="4" fontId="72" fillId="0" borderId="12" xfId="0" applyFont="1" applyBorder="1" applyNumberFormat="1">
      <alignment horizontal="right" vertical="center" wrapText="1"/>
    </xf>
    <xf numFmtId="49" fontId="22" fillId="37" borderId="14" xfId="0" applyFont="1" applyFill="1" applyBorder="1" applyNumberFormat="1">
      <alignment vertical="center" wrapText="1"/>
    </xf>
    <xf numFmtId="49" fontId="39" fillId="37" borderId="15" xfId="0" applyFont="1" applyFill="1" applyBorder="1" applyNumberFormat="1">
      <alignment horizontal="left" vertical="center" indent="2"/>
    </xf>
    <xf numFmtId="0" fontId="22" fillId="37" borderId="15" xfId="0" applyFont="1" applyFill="1" applyBorder="1">
      <alignment vertical="center" wrapText="1"/>
    </xf>
    <xf numFmtId="0" fontId="46" fillId="37" borderId="13" xfId="0" applyFont="1" applyFill="1" applyBorder="1">
      <alignment vertical="center" wrapText="1"/>
    </xf>
    <xf numFmtId="14" fontId="22" fillId="0" borderId="0" xfId="0" applyFont="1" applyNumberFormat="1">
      <alignment horizontal="center" vertical="center" wrapText="1"/>
    </xf>
    <xf numFmtId="49" fontId="49" fillId="0" borderId="0" xfId="0" applyFont="1" applyNumberFormat="1">
      <alignment horizontal="center" vertical="center"/>
    </xf>
    <xf numFmtId="0" fontId="22" fillId="0" borderId="12" xfId="0" applyFont="1" applyBorder="1">
      <alignment horizontal="left" vertical="center" wrapText="1" indent="2"/>
    </xf>
    <xf numFmtId="178" fontId="22" fillId="39" borderId="12" xfId="0" applyFont="1" applyFill="1" applyBorder="1" applyNumberFormat="1">
      <alignment horizontal="right" vertical="center" wrapText="1"/>
      <protection locked="0"/>
    </xf>
    <xf numFmtId="0" fontId="22" fillId="0" borderId="17" xfId="0" applyFont="1" applyBorder="1">
      <alignment horizontal="center" vertical="center" wrapText="1"/>
    </xf>
    <xf numFmtId="4" fontId="22" fillId="34" borderId="17" xfId="0" applyFont="1" applyFill="1" applyBorder="1" applyNumberFormat="1">
      <alignment horizontal="right" vertical="center" wrapText="1"/>
    </xf>
    <xf numFmtId="49" fontId="39" fillId="37" borderId="15" xfId="0" applyFont="1" applyFill="1" applyBorder="1" applyNumberFormat="1">
      <alignment horizontal="left" vertical="center" indent="1"/>
    </xf>
    <xf numFmtId="0" fontId="22" fillId="0" borderId="0" xfId="0" applyFont="1">
      <alignment horizontal="left" vertical="center" wrapText="1"/>
    </xf>
    <xf numFmtId="0" fontId="22" fillId="0" borderId="0" xfId="0" applyFont="1">
      <alignment vertical="center"/>
    </xf>
    <xf numFmtId="0" fontId="0" fillId="0" borderId="0" xfId="0" applyFont="1">
      <alignment vertical="center"/>
    </xf>
    <xf numFmtId="0" fontId="46" fillId="0" borderId="0" xfId="0" applyFont="1">
      <alignment vertical="center"/>
    </xf>
    <xf numFmtId="0" fontId="22" fillId="0" borderId="0" xfId="0" applyFont="1">
      <alignment vertical="center"/>
    </xf>
    <xf numFmtId="0" fontId="86" fillId="0" borderId="0" xfId="0" applyFont="1">
      <alignment vertical="center"/>
    </xf>
    <xf numFmtId="0" fontId="40" fillId="0" borderId="0" xfId="0" applyFont="1">
      <alignment vertical="center"/>
    </xf>
    <xf numFmtId="0" fontId="22" fillId="0" borderId="0" xfId="0" applyFont="1">
      <alignment vertical="center" wrapText="1"/>
    </xf>
    <xf numFmtId="0" fontId="40" fillId="0" borderId="0" xfId="0" applyFont="1">
      <alignment vertical="center"/>
    </xf>
    <xf numFmtId="0" fontId="86" fillId="0" borderId="0" xfId="0" applyFont="1">
      <alignment vertical="center"/>
    </xf>
    <xf numFmtId="0" fontId="52" fillId="0" borderId="0" xfId="0" applyFont="1">
      <alignment vertical="center"/>
    </xf>
    <xf numFmtId="0" fontId="22" fillId="0" borderId="0" xfId="0" applyFont="1">
      <alignment horizontal="center" vertical="center" wrapText="1"/>
    </xf>
    <xf numFmtId="49" fontId="35" fillId="0" borderId="0" xfId="0" applyFont="1" applyNumberFormat="1">
      <alignment horizontal="center" vertical="center" wrapText="1"/>
    </xf>
    <xf numFmtId="49" fontId="35" fillId="0" borderId="12" xfId="0" applyFont="1" applyBorder="1" applyNumberFormat="1">
      <alignment horizontal="center" vertical="center" wrapText="1"/>
    </xf>
    <xf numFmtId="0" fontId="46" fillId="0" borderId="0" xfId="0" applyFont="1">
      <alignment vertical="center"/>
    </xf>
    <xf numFmtId="0" fontId="0" fillId="0" borderId="0" xfId="0" applyFont="1">
      <alignment vertical="center"/>
    </xf>
    <xf numFmtId="0" fontId="47" fillId="0" borderId="0" xfId="0" applyFont="1">
      <alignment horizontal="center" vertical="center"/>
    </xf>
    <xf numFmtId="0" fontId="22" fillId="0" borderId="0" xfId="0" applyFont="1">
      <alignment horizontal="center" vertical="center" wrapText="1"/>
    </xf>
    <xf numFmtId="0" fontId="22" fillId="37" borderId="14" xfId="0" applyFont="1" applyFill="1" applyBorder="1">
      <alignment horizontal="center" vertical="center" wrapText="1"/>
    </xf>
    <xf numFmtId="49" fontId="22" fillId="37" borderId="15" xfId="0" applyFont="1" applyFill="1" applyBorder="1" applyNumberFormat="1">
      <alignment horizontal="center" vertical="center" wrapText="1"/>
    </xf>
    <xf numFmtId="0" fontId="0" fillId="37" borderId="13" xfId="0" applyFont="1" applyFill="1" applyBorder="1">
      <alignment vertical="center"/>
    </xf>
    <xf numFmtId="49" fontId="22" fillId="0" borderId="17" xfId="0" applyFont="1" applyBorder="1" applyNumberFormat="1">
      <alignment horizontal="center" vertical="center" wrapText="1"/>
    </xf>
    <xf numFmtId="49" fontId="75" fillId="0" borderId="12" xfId="0" applyFont="1" applyBorder="1" applyNumberFormat="1">
      <alignment horizontal="left" vertical="center" wrapText="1" indent="1"/>
    </xf>
    <xf numFmtId="0" fontId="46" fillId="0" borderId="0" xfId="0" applyFont="1">
      <alignment vertical="center"/>
    </xf>
    <xf numFmtId="0" fontId="74" fillId="0" borderId="0" xfId="0" applyFont="1">
      <alignment vertical="center"/>
    </xf>
    <xf numFmtId="0" fontId="0" fillId="0" borderId="0" xfId="0" applyFont="1">
      <alignment vertical="center"/>
    </xf>
    <xf numFmtId="49" fontId="39" fillId="37" borderId="13" xfId="0" applyFont="1" applyFill="1" applyBorder="1" applyNumberFormat="1">
      <alignment horizontal="left" vertical="center" indent="1"/>
    </xf>
    <xf numFmtId="49" fontId="49" fillId="37" borderId="13" xfId="0" applyFont="1" applyFill="1" applyBorder="1" applyNumberFormat="1">
      <alignment horizontal="right" vertical="center" wrapText="1"/>
    </xf>
    <xf numFmtId="0" fontId="75" fillId="42" borderId="0" xfId="0" applyFont="1" applyFill="1">
      <alignment vertical="top"/>
    </xf>
    <xf numFmtId="49" fontId="31" fillId="0" borderId="0" xfId="0" applyFont="1" applyNumberFormat="1">
      <alignment horizontal="center" vertical="center" wrapText="1"/>
    </xf>
    <xf numFmtId="0" fontId="47" fillId="0" borderId="0" xfId="0" applyFont="1">
      <alignment vertical="center" wrapText="1"/>
    </xf>
    <xf numFmtId="0" fontId="31" fillId="0" borderId="0" xfId="0" applyFont="1">
      <alignment vertical="center" wrapText="1"/>
    </xf>
    <xf numFmtId="0" fontId="22" fillId="0" borderId="0" xfId="0" applyFont="1">
      <alignment horizontal="center" vertical="center" wrapText="1"/>
    </xf>
    <xf numFmtId="0" fontId="49" fillId="0" borderId="0" xfId="0" applyFont="1">
      <alignment horizontal="center" vertical="center" wrapText="1"/>
    </xf>
    <xf numFmtId="49" fontId="31" fillId="0" borderId="0" xfId="0" applyFont="1" applyNumberFormat="1">
      <alignment horizontal="center" vertical="center" wrapText="1"/>
    </xf>
    <xf numFmtId="4" fontId="22" fillId="0" borderId="0" xfId="0" applyFont="1" applyNumberFormat="1">
      <alignment horizontal="right" vertical="center" wrapText="1"/>
    </xf>
    <xf numFmtId="9" fontId="49" fillId="0" borderId="0" xfId="0" applyFont="1" applyNumberFormat="1">
      <alignment horizontal="center" vertical="center" wrapText="1"/>
    </xf>
    <xf numFmtId="0" fontId="71" fillId="0" borderId="0" xfId="0" applyFont="1">
      <alignment vertical="center" wrapText="1"/>
    </xf>
    <xf numFmtId="0" fontId="47" fillId="0" borderId="0" xfId="0" applyFont="1">
      <alignment vertical="center" wrapText="1"/>
    </xf>
    <xf numFmtId="0" fontId="31" fillId="0" borderId="0" xfId="0" applyFont="1">
      <alignment vertical="center" wrapText="1"/>
    </xf>
    <xf numFmtId="49" fontId="63" fillId="0" borderId="0" xfId="0" applyFont="1" applyNumberFormat="1">
      <alignment horizontal="center" vertical="center" wrapText="1"/>
    </xf>
    <xf numFmtId="0" fontId="63" fillId="0" borderId="0" xfId="0" applyFont="1">
      <alignment vertical="center" wrapText="1"/>
    </xf>
    <xf numFmtId="0" fontId="0" fillId="0" borderId="0" xfId="0" applyFont="1">
      <alignment vertical="top"/>
    </xf>
    <xf numFmtId="49" fontId="0" fillId="0" borderId="0" xfId="0" applyFont="1" applyNumberFormat="1">
      <alignment vertical="top"/>
    </xf>
    <xf numFmtId="49" fontId="47" fillId="0" borderId="0" xfId="0" applyFont="1" applyNumberFormat="1">
      <alignment vertical="top"/>
    </xf>
    <xf numFmtId="49" fontId="46" fillId="0" borderId="0" xfId="0" applyFont="1" applyNumberFormat="1">
      <alignment vertical="top"/>
    </xf>
    <xf numFmtId="49" fontId="47" fillId="0" borderId="0" xfId="0" applyFont="1" applyNumberFormat="1">
      <alignment vertical="top"/>
    </xf>
    <xf numFmtId="49" fontId="46" fillId="0" borderId="0" xfId="0" applyFont="1" applyNumberFormat="1">
      <alignment vertical="top"/>
    </xf>
    <xf numFmtId="49" fontId="46" fillId="0" borderId="0" xfId="0" applyFont="1" applyNumberFormat="1">
      <alignment vertical="top"/>
    </xf>
    <xf numFmtId="0" fontId="46" fillId="0" borderId="0" xfId="0" applyFont="1">
      <alignment vertical="top"/>
    </xf>
    <xf numFmtId="0" fontId="74" fillId="0" borderId="0" xfId="0" applyFont="1">
      <alignment vertical="top"/>
    </xf>
    <xf numFmtId="0" fontId="87" fillId="0" borderId="0" xfId="0" applyFont="1">
      <alignment vertical="top"/>
    </xf>
    <xf numFmtId="0" fontId="46" fillId="0" borderId="0" xfId="0" applyFont="1">
      <alignment horizontal="center" vertical="center" wrapText="1"/>
    </xf>
    <xf numFmtId="0" fontId="47" fillId="0" borderId="0" xfId="0" applyFont="1">
      <alignment horizontal="center" vertical="center" wrapText="1"/>
    </xf>
    <xf numFmtId="0" fontId="47" fillId="0" borderId="12" xfId="0" applyFont="1" applyBorder="1">
      <alignment horizontal="left" vertical="center" wrapText="1"/>
    </xf>
    <xf numFmtId="0" fontId="47" fillId="0" borderId="12" xfId="0" applyFont="1" applyBorder="1">
      <alignment vertical="center" wrapText="1"/>
    </xf>
    <xf numFmtId="49" fontId="0" fillId="0" borderId="13" xfId="0" applyFont="1" applyBorder="1" applyNumberFormat="1">
      <alignment horizontal="center" vertical="center" wrapText="1"/>
    </xf>
    <xf numFmtId="49" fontId="0" fillId="0" borderId="12" xfId="0" applyFont="1" applyBorder="1" applyNumberFormat="1">
      <alignment horizontal="center" vertical="center"/>
    </xf>
    <xf numFmtId="4" fontId="0" fillId="34" borderId="12" xfId="0" applyFont="1" applyFill="1" applyBorder="1" applyNumberFormat="1">
      <alignment horizontal="right" vertical="center" wrapText="1"/>
    </xf>
    <xf numFmtId="0" fontId="0" fillId="0" borderId="12" xfId="0" applyFont="1" applyBorder="1">
      <alignment vertical="center" wrapText="1"/>
    </xf>
    <xf numFmtId="49" fontId="0" fillId="0" borderId="29" xfId="0" applyFont="1" applyBorder="1" applyNumberFormat="1">
      <alignment horizontal="center" vertical="center" wrapText="1"/>
    </xf>
    <xf numFmtId="4" fontId="0" fillId="39" borderId="12" xfId="0" applyFont="1" applyFill="1" applyBorder="1" applyNumberFormat="1">
      <alignment horizontal="right" vertical="center" wrapText="1"/>
      <protection locked="0"/>
    </xf>
    <xf numFmtId="49" fontId="0" fillId="39" borderId="12" xfId="0" applyFont="1" applyFill="1" applyBorder="1" applyNumberFormat="1">
      <alignment horizontal="center" vertical="center" wrapText="1"/>
      <protection locked="0"/>
    </xf>
    <xf numFmtId="4" fontId="46" fillId="0" borderId="12" xfId="0" applyFont="1" applyBorder="1" applyNumberFormat="1">
      <alignment horizontal="right" vertical="center" wrapText="1"/>
    </xf>
    <xf numFmtId="49" fontId="0" fillId="37" borderId="30" xfId="0" applyFont="1" applyFill="1" applyBorder="1" applyNumberFormat="1">
      <alignment horizontal="center" vertical="center"/>
    </xf>
    <xf numFmtId="49" fontId="0" fillId="37" borderId="15" xfId="0" applyFont="1" applyFill="1" applyBorder="1" applyNumberFormat="1">
      <alignment horizontal="center" vertical="center"/>
    </xf>
    <xf numFmtId="49" fontId="39" fillId="37" borderId="15" xfId="0" applyFont="1" applyFill="1" applyBorder="1" applyNumberFormat="1">
      <alignment horizontal="left" vertical="center"/>
    </xf>
    <xf numFmtId="49" fontId="39" fillId="37" borderId="13" xfId="0" applyFont="1" applyFill="1" applyBorder="1" applyNumberFormat="1">
      <alignment horizontal="left" vertical="center" indent="1"/>
    </xf>
    <xf numFmtId="49" fontId="39" fillId="37" borderId="14" xfId="0" applyFont="1" applyFill="1" applyBorder="1" applyNumberFormat="1">
      <alignment horizontal="left" vertical="center"/>
    </xf>
    <xf numFmtId="49" fontId="39" fillId="37" borderId="15" xfId="0" applyFont="1" applyFill="1" applyBorder="1" applyNumberFormat="1">
      <alignment horizontal="left" vertical="center" indent="1"/>
    </xf>
    <xf numFmtId="49" fontId="39" fillId="37" borderId="15" xfId="0" applyFont="1" applyFill="1" applyBorder="1" applyNumberFormat="1">
      <alignment horizontal="left" vertical="center"/>
    </xf>
    <xf numFmtId="49" fontId="39" fillId="37" borderId="13" xfId="0" applyFont="1" applyFill="1" applyBorder="1" applyNumberFormat="1">
      <alignment horizontal="left" vertical="center" indent="1"/>
    </xf>
    <xf numFmtId="0" fontId="39" fillId="0" borderId="12" xfId="0" applyFont="1" applyBorder="1">
      <alignment horizontal="left" vertical="center" indent="1"/>
    </xf>
    <xf numFmtId="0" fontId="22" fillId="0" borderId="0" xfId="0" applyFont="1">
      <alignment horizontal="right" vertical="center" wrapText="1"/>
    </xf>
    <xf numFmtId="0" fontId="0" fillId="0" borderId="0" xfId="0" applyFont="1">
      <alignment vertical="center"/>
    </xf>
    <xf numFmtId="0" fontId="44" fillId="0" borderId="0" xfId="0" applyFont="1">
      <alignment horizontal="right" vertical="top" wrapText="1"/>
    </xf>
    <xf numFmtId="0" fontId="22" fillId="0" borderId="0" xfId="0" applyFont="1">
      <alignment vertical="top" wrapText="1"/>
    </xf>
    <xf numFmtId="0" fontId="22" fillId="0" borderId="0" xfId="0" applyFont="1">
      <alignment horizontal="left" vertical="top" wrapText="1"/>
    </xf>
    <xf numFmtId="0" fontId="35" fillId="0" borderId="0" xfId="0" applyFont="1">
      <alignment horizontal="center" vertical="center" wrapText="1"/>
    </xf>
    <xf numFmtId="4" fontId="22" fillId="0" borderId="12" xfId="0" applyFont="1" applyBorder="1" applyNumberFormat="1">
      <alignment horizontal="center" vertical="center" wrapText="1"/>
    </xf>
    <xf numFmtId="49" fontId="53" fillId="36" borderId="14" xfId="0" applyFont="1" applyFill="1" applyBorder="1" applyNumberFormat="1">
      <alignment horizontal="left" vertical="center" wrapText="1"/>
      <protection locked="0"/>
    </xf>
    <xf numFmtId="49" fontId="53" fillId="36" borderId="14" xfId="0" applyFont="1" applyFill="1" applyBorder="1" applyNumberFormat="1">
      <alignment horizontal="left" vertical="center" wrapText="1"/>
      <protection locked="0"/>
    </xf>
    <xf numFmtId="49" fontId="22" fillId="39" borderId="12" xfId="0" applyFont="1" applyFill="1" applyBorder="1" applyNumberFormat="1">
      <alignment horizontal="left" vertical="center" wrapText="1"/>
      <protection locked="0"/>
    </xf>
    <xf numFmtId="0" fontId="44" fillId="0" borderId="0" xfId="0" applyFont="1">
      <alignment vertical="top"/>
    </xf>
    <xf numFmtId="49" fontId="22" fillId="0" borderId="31" xfId="0" applyFont="1" applyBorder="1" applyNumberFormat="1">
      <alignment horizontal="center" vertical="center" wrapText="1"/>
    </xf>
    <xf numFmtId="0" fontId="22" fillId="0" borderId="31" xfId="0" applyFont="1" applyBorder="1">
      <alignment horizontal="left" vertical="center" wrapText="1"/>
    </xf>
    <xf numFmtId="0" fontId="22" fillId="0" borderId="31" xfId="0" applyFont="1" applyBorder="1">
      <alignment horizontal="left" vertical="center" wrapText="1" indent="1"/>
    </xf>
    <xf numFmtId="4" fontId="22" fillId="39" borderId="31" xfId="0" applyFont="1" applyFill="1" applyBorder="1" applyNumberFormat="1">
      <alignment horizontal="right" vertical="center" wrapText="1"/>
      <protection locked="0"/>
    </xf>
    <xf numFmtId="49" fontId="22" fillId="0" borderId="32" xfId="0" applyFont="1" applyBorder="1" applyNumberFormat="1">
      <alignment horizontal="center" vertical="center" wrapText="1"/>
    </xf>
    <xf numFmtId="49" fontId="22" fillId="39" borderId="12" xfId="0" applyFont="1" applyFill="1" applyBorder="1" applyNumberFormat="1">
      <alignment horizontal="left" vertical="center" wrapText="1" indent="1"/>
      <protection locked="0"/>
    </xf>
    <xf numFmtId="0" fontId="22" fillId="0" borderId="31" xfId="0" applyFont="1" applyBorder="1">
      <alignment horizontal="left" vertical="center" wrapText="1" indent="2"/>
    </xf>
    <xf numFmtId="0" fontId="46" fillId="0" borderId="0" xfId="0" applyFont="1">
      <alignment horizontal="center" vertical="center" wrapText="1"/>
    </xf>
    <xf numFmtId="49" fontId="22" fillId="0" borderId="0" xfId="0" applyFont="1" applyNumberFormat="1">
      <alignment horizontal="left" vertical="center" wrapText="1"/>
    </xf>
    <xf numFmtId="0" fontId="83" fillId="0" borderId="0" xfId="0" applyFont="1">
      <alignment vertical="center" wrapText="1"/>
    </xf>
    <xf numFmtId="0" fontId="83" fillId="0" borderId="0" xfId="0" applyFont="1">
      <alignment vertical="center" wrapText="1"/>
    </xf>
    <xf numFmtId="0" fontId="22" fillId="0" borderId="0" xfId="0" applyFont="1">
      <alignment horizontal="left" vertical="center" wrapText="1"/>
    </xf>
    <xf numFmtId="0" fontId="22" fillId="0" borderId="12" xfId="0" applyFont="1" applyBorder="1">
      <alignment horizontal="left" vertical="center" wrapText="1"/>
    </xf>
    <xf numFmtId="3" fontId="22" fillId="0" borderId="14" xfId="0" applyFont="1" applyBorder="1" applyNumberFormat="1">
      <alignment vertical="center" wrapText="1"/>
    </xf>
    <xf numFmtId="0" fontId="22" fillId="0" borderId="13" xfId="0" applyFont="1" applyBorder="1">
      <alignment vertical="center" wrapText="1"/>
    </xf>
    <xf numFmtId="4" fontId="22" fillId="36" borderId="14" xfId="0" applyFont="1" applyFill="1" applyBorder="1" applyNumberFormat="1">
      <alignment horizontal="right" vertical="center" wrapText="1"/>
      <protection locked="0"/>
    </xf>
    <xf numFmtId="4" fontId="22" fillId="0" borderId="14" xfId="0" applyFont="1" applyBorder="1" applyNumberFormat="1">
      <alignment horizontal="right" vertical="center" wrapText="1"/>
    </xf>
    <xf numFmtId="4" fontId="22" fillId="0" borderId="30" xfId="0" applyFont="1" applyBorder="1" applyNumberFormat="1">
      <alignment horizontal="right" vertical="center" wrapText="1"/>
    </xf>
    <xf numFmtId="0" fontId="35" fillId="0" borderId="0" xfId="0" applyFont="1">
      <alignment horizontal="center" vertical="center" wrapText="1"/>
    </xf>
    <xf numFmtId="0" fontId="22" fillId="0" borderId="14" xfId="0" applyFont="1" applyBorder="1">
      <alignment horizontal="center" vertical="center" wrapText="1"/>
    </xf>
    <xf numFmtId="3" fontId="22" fillId="39" borderId="14" xfId="0" applyFont="1" applyFill="1" applyBorder="1" applyNumberFormat="1">
      <alignment vertical="center" wrapText="1"/>
      <protection locked="0"/>
    </xf>
    <xf numFmtId="49" fontId="22" fillId="36" borderId="14" xfId="0" applyFont="1" applyFill="1" applyBorder="1" applyNumberFormat="1">
      <alignment horizontal="left" vertical="center" wrapText="1"/>
      <protection locked="0"/>
    </xf>
    <xf numFmtId="4" fontId="22" fillId="34" borderId="14" xfId="0" applyFont="1" applyFill="1" applyBorder="1" applyNumberFormat="1">
      <alignment horizontal="right" vertical="center" wrapText="1"/>
    </xf>
    <xf numFmtId="0" fontId="22" fillId="0" borderId="0" xfId="0" applyFont="1">
      <alignment horizontal="left" vertical="center" wrapText="1"/>
    </xf>
    <xf numFmtId="0" fontId="0" fillId="0" borderId="14" xfId="0" applyFont="1" applyBorder="1">
      <alignment horizontal="center" vertical="center"/>
    </xf>
    <xf numFmtId="49" fontId="0" fillId="0" borderId="12" xfId="0" applyFont="1" applyBorder="1" applyNumberFormat="1">
      <alignment horizontal="left" vertical="center" wrapText="1" indent="1"/>
    </xf>
    <xf numFmtId="0" fontId="22" fillId="0" borderId="13" xfId="0" applyFont="1" applyBorder="1">
      <alignment horizontal="center" vertical="center" wrapText="1"/>
    </xf>
    <xf numFmtId="49" fontId="0" fillId="0" borderId="14" xfId="0" applyFont="1" applyBorder="1" applyNumberFormat="1">
      <alignment horizontal="center" vertical="center"/>
    </xf>
    <xf numFmtId="49" fontId="0" fillId="0" borderId="12" xfId="0" applyFont="1" applyBorder="1" applyNumberFormat="1">
      <alignment vertical="center" wrapText="1"/>
    </xf>
    <xf numFmtId="0" fontId="22" fillId="37" borderId="19" xfId="0" applyFont="1" applyFill="1" applyBorder="1">
      <alignment vertical="center" wrapText="1"/>
    </xf>
    <xf numFmtId="0" fontId="22" fillId="0" borderId="15" xfId="0" applyFont="1" applyBorder="1">
      <alignment horizontal="center" vertical="center" wrapText="1"/>
    </xf>
    <xf numFmtId="0" fontId="22" fillId="37" borderId="27" xfId="0" applyFont="1" applyFill="1" applyBorder="1">
      <alignment vertical="center" wrapText="1"/>
    </xf>
    <xf numFmtId="49" fontId="22" fillId="39" borderId="14" xfId="0" applyFont="1" applyFill="1" applyBorder="1" applyNumberFormat="1">
      <alignment horizontal="left" vertical="center" wrapText="1"/>
      <protection locked="0"/>
    </xf>
    <xf numFmtId="49" fontId="0" fillId="36" borderId="12" xfId="0" applyFont="1" applyFill="1" applyBorder="1" applyNumberFormat="1">
      <alignment horizontal="left" vertical="center" wrapText="1"/>
      <protection locked="0"/>
    </xf>
    <xf numFmtId="0" fontId="45" fillId="0" borderId="0" xfId="0" applyFont="1">
      <alignment horizontal="left" vertical="center" wrapText="1" indent="1"/>
    </xf>
    <xf numFmtId="0" fontId="88" fillId="0" borderId="0" xfId="0" applyFont="1">
      <alignment vertical="center" wrapText="1"/>
    </xf>
    <xf numFmtId="0" fontId="88" fillId="35" borderId="0" xfId="0" applyFont="1" applyFill="1">
      <alignment horizontal="center" vertical="center" wrapText="1"/>
    </xf>
    <xf numFmtId="0" fontId="88" fillId="35" borderId="0" xfId="0" applyFont="1" applyFill="1">
      <alignment horizontal="right" vertical="center" wrapText="1"/>
    </xf>
    <xf numFmtId="0" fontId="22" fillId="0" borderId="12" xfId="0" applyFont="1" applyBorder="1">
      <alignment horizontal="center" vertical="center" wrapText="1"/>
    </xf>
    <xf numFmtId="49" fontId="46" fillId="0" borderId="0" xfId="0" applyFont="1" applyNumberFormat="1">
      <alignment horizontal="center" vertical="center" wrapText="1"/>
    </xf>
    <xf numFmtId="0" fontId="22" fillId="0" borderId="12" xfId="0" applyFont="1" applyBorder="1">
      <alignment horizontal="center" vertical="center" wrapText="1"/>
    </xf>
    <xf numFmtId="0" fontId="46" fillId="0" borderId="0" xfId="0" applyFont="1">
      <alignment horizontal="center" vertical="top"/>
    </xf>
    <xf numFmtId="0" fontId="22" fillId="0" borderId="12" xfId="0" applyFont="1" applyBorder="1">
      <alignment horizontal="left" vertical="center" wrapText="1"/>
    </xf>
    <xf numFmtId="0" fontId="47" fillId="0" borderId="0" xfId="0" applyFont="1">
      <alignment horizontal="center" vertical="center" wrapText="1"/>
    </xf>
    <xf numFmtId="0" fontId="22" fillId="0" borderId="12" xfId="0" applyFont="1" applyBorder="1">
      <alignment horizontal="left" vertical="center" wrapText="1"/>
    </xf>
    <xf numFmtId="49" fontId="22" fillId="40" borderId="12" xfId="0" applyFont="1" applyFill="1" applyBorder="1" applyNumberFormat="1">
      <alignment horizontal="left" vertical="center" wrapText="1" indent="1"/>
    </xf>
    <xf numFmtId="0" fontId="22" fillId="0" borderId="14" xfId="0" applyFont="1" applyBorder="1">
      <alignment vertical="center" wrapText="1"/>
    </xf>
    <xf numFmtId="0" fontId="22" fillId="0" borderId="0" xfId="0" applyFont="1">
      <alignment horizontal="right" vertical="center"/>
    </xf>
    <xf numFmtId="49" fontId="53" fillId="37" borderId="13" xfId="0" applyFont="1" applyFill="1" applyBorder="1" applyNumberFormat="1">
      <alignment horizontal="left" vertical="center" wrapText="1"/>
    </xf>
    <xf numFmtId="0" fontId="89" fillId="0" borderId="0" xfId="0" applyFont="1">
      <alignment vertical="center"/>
    </xf>
    <xf numFmtId="0" fontId="90" fillId="0" borderId="0" xfId="0" applyFont="1">
      <alignment vertical="center"/>
    </xf>
    <xf numFmtId="49" fontId="47" fillId="0" borderId="22" xfId="0" applyFont="1" applyBorder="1" applyNumberFormat="1">
      <alignment vertical="top"/>
    </xf>
    <xf numFmtId="49" fontId="47" fillId="0" borderId="22" xfId="0" applyFont="1" applyBorder="1" applyNumberFormat="1">
      <alignment vertical="top"/>
    </xf>
    <xf numFmtId="0" fontId="47" fillId="0" borderId="22" xfId="0" applyFont="1" applyBorder="1">
      <alignment vertical="center" wrapText="1"/>
    </xf>
    <xf numFmtId="0" fontId="22" fillId="0" borderId="13" xfId="0" applyFont="1" applyBorder="1">
      <alignment horizontal="left" vertical="center" wrapText="1" indent="1"/>
    </xf>
    <xf numFmtId="0" fontId="71" fillId="0" borderId="22" xfId="0" applyFont="1" applyBorder="1">
      <alignment vertical="center" wrapText="1"/>
    </xf>
    <xf numFmtId="4" fontId="22" fillId="0" borderId="31" xfId="0" applyFont="1" applyBorder="1" applyNumberFormat="1">
      <alignment horizontal="center" vertical="center" wrapText="1"/>
    </xf>
    <xf numFmtId="0" fontId="22" fillId="0" borderId="33" xfId="0" applyFont="1" applyBorder="1">
      <alignment horizontal="left" vertical="center" wrapText="1"/>
    </xf>
    <xf numFmtId="0" fontId="22" fillId="0" borderId="33" xfId="0" applyFont="1" applyBorder="1">
      <alignment horizontal="left" vertical="center" wrapText="1" indent="1"/>
    </xf>
    <xf numFmtId="4" fontId="22" fillId="39" borderId="33" xfId="0" applyFont="1" applyFill="1" applyBorder="1" applyNumberFormat="1">
      <alignment horizontal="right" vertical="center" wrapText="1"/>
      <protection locked="0"/>
    </xf>
    <xf numFmtId="4" fontId="22" fillId="0" borderId="33" xfId="0" applyFont="1" applyBorder="1" applyNumberFormat="1">
      <alignment horizontal="center" vertical="center" wrapText="1"/>
    </xf>
    <xf numFmtId="49" fontId="22" fillId="0" borderId="34" xfId="0" applyFont="1" applyBorder="1" applyNumberFormat="1">
      <alignment horizontal="center" vertical="center" wrapText="1"/>
    </xf>
    <xf numFmtId="4" fontId="22" fillId="39" borderId="14" xfId="0" applyFont="1" applyFill="1" applyBorder="1" applyNumberFormat="1">
      <alignment horizontal="right" vertical="center" wrapText="1"/>
      <protection locked="0"/>
    </xf>
    <xf numFmtId="4" fontId="22" fillId="39" borderId="34" xfId="0" applyFont="1" applyFill="1" applyBorder="1" applyNumberFormat="1">
      <alignment horizontal="right" vertical="center" wrapText="1"/>
      <protection locked="0"/>
    </xf>
    <xf numFmtId="0" fontId="46" fillId="0" borderId="0" xfId="0" applyFont="1">
      <alignment horizontal="left" vertical="center" wrapText="1"/>
    </xf>
    <xf numFmtId="0" fontId="47" fillId="0" borderId="0" xfId="0" applyFont="1">
      <alignment horizontal="left" vertical="center" wrapText="1"/>
    </xf>
    <xf numFmtId="0" fontId="54" fillId="0" borderId="0" xfId="0" applyFont="1">
      <alignment horizontal="left" vertical="center" wrapText="1"/>
    </xf>
    <xf numFmtId="0" fontId="31" fillId="0" borderId="0" xfId="0" applyFont="1">
      <alignment horizontal="left" vertical="center" wrapText="1"/>
    </xf>
    <xf numFmtId="49" fontId="22" fillId="0" borderId="0" xfId="0" applyFont="1" applyNumberFormat="1">
      <alignment horizontal="center" vertical="center" wrapText="1"/>
    </xf>
    <xf numFmtId="0" fontId="84" fillId="0" borderId="0" xfId="0" applyFont="1">
      <alignment vertical="center" wrapText="1"/>
    </xf>
    <xf numFmtId="0" fontId="47" fillId="0" borderId="0" xfId="0" applyFont="1">
      <alignment vertical="center" wrapText="1"/>
    </xf>
    <xf numFmtId="0" fontId="54" fillId="0" borderId="0" xfId="0" applyFont="1">
      <alignment vertical="center" wrapText="1"/>
    </xf>
    <xf numFmtId="0" fontId="31" fillId="0" borderId="0" xfId="0" applyFont="1">
      <alignment vertical="center" wrapText="1"/>
    </xf>
    <xf numFmtId="49" fontId="49" fillId="0" borderId="0" xfId="0" applyFont="1" applyNumberFormat="1">
      <alignment horizontal="center" vertical="center"/>
    </xf>
    <xf numFmtId="0" fontId="22" fillId="0" borderId="0" xfId="0" applyFont="1">
      <alignment vertical="center" wrapText="1"/>
    </xf>
    <xf numFmtId="4" fontId="22" fillId="0" borderId="35" xfId="0" applyFont="1" applyBorder="1" applyNumberFormat="1">
      <alignment horizontal="center" vertical="center" wrapText="1"/>
    </xf>
    <xf numFmtId="4" fontId="22" fillId="39" borderId="35" xfId="0" applyFont="1" applyFill="1" applyBorder="1" applyNumberFormat="1">
      <alignment horizontal="right" vertical="center" wrapText="1"/>
      <protection locked="0"/>
    </xf>
    <xf numFmtId="4" fontId="22" fillId="39" borderId="23" xfId="0" applyFont="1" applyFill="1" applyBorder="1" applyNumberFormat="1">
      <alignment horizontal="right" vertical="center" wrapText="1"/>
      <protection locked="0"/>
    </xf>
    <xf numFmtId="49" fontId="22" fillId="0" borderId="33" xfId="0" applyFont="1" applyBorder="1" applyNumberFormat="1">
      <alignment horizontal="center" vertical="center" wrapText="1"/>
    </xf>
    <xf numFmtId="0" fontId="22" fillId="0" borderId="35" xfId="0" applyFont="1" applyBorder="1">
      <alignment horizontal="left" vertical="center" wrapText="1"/>
    </xf>
    <xf numFmtId="0" fontId="22" fillId="0" borderId="20" xfId="0" applyFont="1" applyBorder="1">
      <alignment vertical="center" wrapText="1"/>
    </xf>
    <xf numFmtId="0" fontId="36" fillId="0" borderId="0" xfId="0" applyFont="1">
      <alignment horizontal="center" vertical="center" wrapText="1"/>
    </xf>
    <xf numFmtId="0" fontId="22" fillId="37" borderId="15" xfId="0" applyFont="1" applyFill="1" applyBorder="1">
      <alignment vertical="center" wrapText="1"/>
    </xf>
    <xf numFmtId="0" fontId="46" fillId="37" borderId="13" xfId="0" applyFont="1" applyFill="1" applyBorder="1">
      <alignment vertical="center" wrapText="1"/>
    </xf>
    <xf numFmtId="178" fontId="22" fillId="34" borderId="12" xfId="0" applyFont="1" applyFill="1" applyBorder="1" applyNumberFormat="1">
      <alignment horizontal="right" vertical="center" wrapText="1"/>
    </xf>
    <xf numFmtId="0" fontId="0" fillId="0" borderId="0" xfId="0" applyFont="1">
      <alignment vertical="center"/>
    </xf>
    <xf numFmtId="4" fontId="22" fillId="36" borderId="12" xfId="0" applyFont="1" applyFill="1" applyBorder="1" applyNumberFormat="1">
      <alignment horizontal="right" vertical="center" wrapText="1"/>
      <protection locked="0"/>
    </xf>
    <xf numFmtId="0" fontId="73" fillId="35" borderId="0" xfId="0" applyFont="1" applyFill="1">
      <alignment horizontal="right" vertical="center"/>
    </xf>
    <xf numFmtId="49" fontId="0" fillId="0" borderId="12" xfId="0" applyFont="1" applyBorder="1" applyNumberFormat="1">
      <alignment vertical="top"/>
    </xf>
    <xf numFmtId="0" fontId="22" fillId="0" borderId="14" xfId="0" applyFont="1" applyBorder="1">
      <alignment horizontal="center" vertical="center" wrapText="1"/>
    </xf>
    <xf numFmtId="49" fontId="0" fillId="16" borderId="12" xfId="0" applyFont="1" applyFill="1" applyBorder="1" applyNumberFormat="1">
      <alignment vertical="top"/>
    </xf>
    <xf numFmtId="49" fontId="0" fillId="16" borderId="17" xfId="0" applyFont="1" applyFill="1" applyBorder="1" applyNumberFormat="1">
      <alignment vertical="top"/>
    </xf>
    <xf numFmtId="49" fontId="0" fillId="43" borderId="17" xfId="0" applyFont="1" applyFill="1" applyBorder="1" applyNumberFormat="1">
      <alignment vertical="top"/>
    </xf>
    <xf numFmtId="0" fontId="22" fillId="0" borderId="0" xfId="0" applyFont="1">
      <alignment vertical="center" wrapText="1"/>
    </xf>
    <xf numFmtId="0" fontId="31" fillId="0" borderId="0" xfId="0" applyFont="1">
      <alignment vertical="center" wrapText="1"/>
    </xf>
    <xf numFmtId="0" fontId="22" fillId="0" borderId="12" xfId="0" applyFont="1" applyBorder="1">
      <alignment horizontal="center" vertical="center" wrapText="1"/>
    </xf>
    <xf numFmtId="0" fontId="22" fillId="0" borderId="12" xfId="0" applyFont="1" applyBorder="1">
      <alignment horizontal="center" vertical="center" wrapText="1"/>
    </xf>
    <xf numFmtId="49" fontId="22" fillId="0" borderId="0" xfId="0" applyFont="1" applyNumberFormat="1">
      <alignment vertical="center" wrapText="1"/>
    </xf>
    <xf numFmtId="0" fontId="22" fillId="0" borderId="0" xfId="0" applyFont="1">
      <alignment horizontal="center" vertical="center" wrapText="1"/>
    </xf>
    <xf numFmtId="49" fontId="0" fillId="0" borderId="14" xfId="0" applyFont="1" applyBorder="1" applyNumberFormat="1">
      <alignment vertical="top"/>
    </xf>
    <xf numFmtId="49" fontId="0" fillId="0" borderId="14" xfId="0" applyFont="1" applyBorder="1" applyNumberFormat="1">
      <alignment horizontal="center" vertical="top"/>
    </xf>
    <xf numFmtId="49" fontId="0" fillId="0" borderId="15" xfId="0" applyFont="1" applyBorder="1" applyNumberFormat="1">
      <alignment horizontal="center" vertical="top"/>
    </xf>
    <xf numFmtId="49" fontId="0" fillId="5" borderId="12" xfId="0" applyFont="1" applyFill="1" applyBorder="1" applyNumberFormat="1">
      <alignment vertical="top"/>
    </xf>
    <xf numFmtId="49" fontId="0" fillId="44" borderId="12" xfId="0" applyFont="1" applyFill="1" applyBorder="1" applyNumberFormat="1">
      <alignment vertical="top"/>
    </xf>
    <xf numFmtId="49" fontId="0" fillId="3" borderId="12" xfId="0" applyFont="1" applyFill="1" applyBorder="1" applyNumberFormat="1">
      <alignment vertical="top"/>
    </xf>
    <xf numFmtId="49" fontId="0" fillId="0" borderId="0" xfId="0" applyFont="1" applyNumberFormat="1">
      <alignment vertical="top"/>
    </xf>
    <xf numFmtId="0" fontId="22" fillId="0" borderId="0" xfId="0" applyFont="1">
      <alignment horizontal="center" vertical="center" wrapText="1"/>
    </xf>
    <xf numFmtId="0" fontId="49" fillId="35" borderId="0" xfId="0" applyFont="1" applyFill="1">
      <alignment vertical="center" wrapText="1"/>
    </xf>
    <xf numFmtId="0" fontId="53" fillId="0" borderId="0" xfId="0" applyFont="1">
      <alignment horizontal="left" vertical="center" indent="1"/>
    </xf>
    <xf numFmtId="0" fontId="0" fillId="35" borderId="0" xfId="0" applyFont="1" applyFill="1">
      <alignment horizontal="right" vertical="center" wrapText="1" indent="1"/>
    </xf>
    <xf numFmtId="0" fontId="0" fillId="35" borderId="0" xfId="0" applyFont="1" applyFill="1">
      <alignment horizontal="left" vertical="center" wrapText="1" indent="1"/>
    </xf>
    <xf numFmtId="14" fontId="22" fillId="35" borderId="0" xfId="0" applyFont="1" applyFill="1" applyNumberFormat="1">
      <alignment horizontal="center" vertical="center" wrapText="1"/>
    </xf>
    <xf numFmtId="180" fontId="22" fillId="0" borderId="14" xfId="0" applyFont="1" applyBorder="1" applyNumberFormat="1">
      <alignment horizontal="center" vertical="center" wrapText="1"/>
    </xf>
    <xf numFmtId="49" fontId="35" fillId="0" borderId="15" xfId="0" applyFont="1" applyBorder="1" applyNumberFormat="1">
      <alignment horizontal="center" vertical="center" wrapText="1"/>
    </xf>
    <xf numFmtId="49" fontId="22" fillId="0" borderId="0" xfId="0" applyFont="1" applyNumberFormat="1">
      <alignment horizontal="center" vertical="center" wrapText="1"/>
    </xf>
    <xf numFmtId="0" fontId="22" fillId="0" borderId="23" xfId="0" applyFont="1" applyBorder="1">
      <alignment horizontal="center" vertical="center" wrapText="1"/>
    </xf>
    <xf numFmtId="49" fontId="0" fillId="45" borderId="12" xfId="0" applyFont="1" applyFill="1" applyBorder="1" applyNumberFormat="1">
      <alignment vertical="top"/>
    </xf>
    <xf numFmtId="0" fontId="36" fillId="0" borderId="0" xfId="0" applyFont="1">
      <alignment horizontal="center" vertical="center" wrapText="1"/>
    </xf>
    <xf numFmtId="0" fontId="91" fillId="0" borderId="0" xfId="0" applyFont="1">
      <alignment horizontal="left" vertical="center" wrapText="1"/>
    </xf>
    <xf numFmtId="0" fontId="91" fillId="0" borderId="0" xfId="0" applyFont="1">
      <alignment horizontal="left" vertical="center" wrapText="1"/>
    </xf>
    <xf numFmtId="14" fontId="91" fillId="35" borderId="0" xfId="0" applyFont="1" applyFill="1" applyNumberFormat="1">
      <alignment horizontal="left" vertical="center" wrapText="1"/>
    </xf>
    <xf numFmtId="14" fontId="92" fillId="0" borderId="0" xfId="0" applyFont="1" applyNumberFormat="1">
      <alignment horizontal="center" vertical="center" wrapText="1"/>
    </xf>
    <xf numFmtId="0" fontId="91" fillId="0" borderId="0" xfId="0" applyFont="1">
      <alignment horizontal="left" vertical="center" wrapText="1"/>
    </xf>
    <xf numFmtId="14" fontId="93" fillId="0" borderId="12" xfId="0" applyFont="1" applyBorder="1" applyNumberFormat="1">
      <alignment horizontal="left" vertical="center" wrapText="1"/>
    </xf>
    <xf numFmtId="0" fontId="47" fillId="0" borderId="0" xfId="0" applyFont="1">
      <alignment vertical="center"/>
    </xf>
    <xf numFmtId="49" fontId="22" fillId="37" borderId="19" xfId="0" applyFont="1" applyFill="1" applyBorder="1" applyNumberFormat="1">
      <alignment horizontal="center" vertical="center" wrapText="1"/>
    </xf>
    <xf numFmtId="49" fontId="22" fillId="34" borderId="23" xfId="0" applyFont="1" applyFill="1" applyBorder="1" applyNumberFormat="1">
      <alignment horizontal="center" vertical="center" wrapText="1"/>
    </xf>
    <xf numFmtId="49" fontId="46" fillId="0" borderId="12" xfId="0" applyFont="1" applyBorder="1" applyNumberFormat="1">
      <alignment horizontal="left" vertical="center" wrapText="1"/>
    </xf>
    <xf numFmtId="14" fontId="22" fillId="40" borderId="23" xfId="0" applyFont="1" applyFill="1" applyBorder="1" applyNumberFormat="1">
      <alignment horizontal="left" vertical="center" wrapText="1" indent="1"/>
    </xf>
    <xf numFmtId="49" fontId="22" fillId="37" borderId="14" xfId="0" applyFont="1" applyFill="1" applyBorder="1" applyNumberFormat="1">
      <alignment horizontal="right" vertical="center" wrapText="1"/>
    </xf>
    <xf numFmtId="0" fontId="47" fillId="0" borderId="23" xfId="0" applyFont="1" applyBorder="1">
      <alignment horizontal="center" vertical="center" wrapText="1"/>
    </xf>
    <xf numFmtId="49" fontId="22" fillId="0" borderId="13" xfId="0" applyFont="1" applyBorder="1" applyNumberFormat="1">
      <alignment horizontal="center" vertical="top"/>
    </xf>
    <xf numFmtId="49" fontId="22" fillId="0" borderId="12" xfId="0" applyFont="1" applyBorder="1" applyNumberFormat="1">
      <alignment horizontal="center" vertical="top"/>
    </xf>
    <xf numFmtId="0" fontId="22" fillId="0" borderId="23" xfId="0" applyFont="1" applyBorder="1">
      <alignment horizontal="center" vertical="center" wrapText="1"/>
    </xf>
    <xf numFmtId="49" fontId="22" fillId="0" borderId="14" xfId="0" applyFont="1" applyBorder="1" applyNumberFormat="1">
      <alignment horizontal="center" vertical="top"/>
    </xf>
    <xf numFmtId="0" fontId="35" fillId="0" borderId="24" xfId="0" applyFont="1" applyBorder="1">
      <alignment vertical="top" wrapText="1"/>
    </xf>
    <xf numFmtId="0" fontId="35" fillId="0" borderId="0" xfId="0" applyFont="1">
      <alignment vertical="top" wrapText="1"/>
    </xf>
    <xf numFmtId="0" fontId="47" fillId="0" borderId="12" xfId="0" applyFont="1" applyBorder="1">
      <alignment horizontal="center" vertical="center" wrapText="1"/>
    </xf>
    <xf numFmtId="0" fontId="46" fillId="0" borderId="23" xfId="0" applyFont="1" applyBorder="1">
      <alignment horizontal="center" vertical="center" wrapText="1"/>
    </xf>
    <xf numFmtId="0" fontId="47" fillId="0" borderId="12" xfId="0" applyFont="1" applyBorder="1">
      <alignment horizontal="center" vertical="center"/>
    </xf>
    <xf numFmtId="0" fontId="22" fillId="0" borderId="12" xfId="0" applyFont="1" applyBorder="1">
      <alignment horizontal="center" vertical="center" wrapText="1"/>
    </xf>
    <xf numFmtId="49" fontId="22" fillId="0" borderId="0" xfId="0" applyFont="1" applyNumberFormat="1">
      <alignment horizontal="center" vertical="center" wrapText="1"/>
    </xf>
    <xf numFmtId="0" fontId="22" fillId="0" borderId="12" xfId="0" applyFont="1" applyBorder="1">
      <alignment horizontal="center" vertical="center" wrapText="1"/>
    </xf>
    <xf numFmtId="0" fontId="22" fillId="0" borderId="14" xfId="0" applyFont="1" applyBorder="1">
      <alignment horizontal="center" vertical="center" wrapText="1"/>
    </xf>
    <xf numFmtId="0" fontId="22" fillId="0" borderId="12" xfId="0" applyFont="1" applyBorder="1">
      <alignment horizontal="center" vertical="center" wrapText="1"/>
    </xf>
    <xf numFmtId="0" fontId="22" fillId="0" borderId="17" xfId="0" applyFont="1" applyBorder="1">
      <alignment horizontal="center" vertical="center" wrapText="1"/>
    </xf>
    <xf numFmtId="49" fontId="75" fillId="39" borderId="12" xfId="0" applyFont="1" applyFill="1" applyBorder="1" applyNumberFormat="1">
      <alignment horizontal="left" vertical="center" wrapText="1" indent="1"/>
      <protection locked="0"/>
    </xf>
    <xf numFmtId="0" fontId="46" fillId="0" borderId="22" xfId="0" applyFont="1" applyBorder="1">
      <alignment vertical="center"/>
    </xf>
    <xf numFmtId="0" fontId="22" fillId="0" borderId="13" xfId="0" applyFont="1" applyBorder="1">
      <alignment horizontal="center" vertical="center" wrapText="1"/>
    </xf>
    <xf numFmtId="49" fontId="22" fillId="40" borderId="12" xfId="0" applyFont="1" applyFill="1" applyBorder="1" applyNumberFormat="1">
      <alignment horizontal="center" vertical="center" wrapText="1"/>
    </xf>
    <xf numFmtId="0" fontId="22" fillId="0" borderId="12" xfId="0" applyFont="1" applyBorder="1">
      <alignment horizontal="center" vertical="center" wrapText="1"/>
    </xf>
    <xf numFmtId="0" fontId="22" fillId="34" borderId="14" xfId="0" applyFont="1" applyFill="1" applyBorder="1">
      <alignment horizontal="left" vertical="top" wrapText="1" indent="1"/>
    </xf>
    <xf numFmtId="3" fontId="22" fillId="36" borderId="14" xfId="0" applyFont="1" applyFill="1" applyBorder="1" applyNumberFormat="1">
      <alignment horizontal="right" vertical="center" wrapText="1"/>
      <protection locked="0"/>
    </xf>
    <xf numFmtId="49" fontId="53" fillId="36" borderId="12" xfId="0" applyFont="1" applyFill="1" applyBorder="1" applyNumberFormat="1">
      <alignment horizontal="left" vertical="center" wrapText="1"/>
      <protection locked="0"/>
    </xf>
    <xf numFmtId="0" fontId="53" fillId="0" borderId="0" xfId="0" applyFont="1">
      <alignment vertical="center" wrapText="1"/>
    </xf>
    <xf numFmtId="0" fontId="22" fillId="0" borderId="13" xfId="0" applyFont="1" applyBorder="1">
      <alignment horizontal="center" vertical="center" wrapText="1"/>
    </xf>
    <xf numFmtId="0" fontId="22" fillId="0" borderId="12" xfId="0" applyFont="1" applyBorder="1">
      <alignment horizontal="center" vertical="center" wrapText="1"/>
    </xf>
    <xf numFmtId="0" fontId="36" fillId="35" borderId="0" xfId="0" applyFont="1" applyFill="1">
      <alignment horizontal="center" vertical="center" wrapText="1"/>
    </xf>
    <xf numFmtId="0" fontId="22" fillId="35" borderId="12" xfId="0" applyFont="1" applyFill="1" applyBorder="1">
      <alignment horizontal="center" vertical="center" wrapText="1"/>
    </xf>
    <xf numFmtId="0" fontId="0" fillId="0" borderId="20" xfId="0" applyFont="1" applyBorder="1">
      <alignment horizontal="center" vertical="center" wrapText="1"/>
    </xf>
    <xf numFmtId="0" fontId="0" fillId="0" borderId="29" xfId="0" applyFont="1" applyBorder="1">
      <alignment horizontal="center" vertical="center" wrapText="1"/>
    </xf>
    <xf numFmtId="0" fontId="0" fillId="0" borderId="17" xfId="0" applyFont="1" applyBorder="1">
      <alignment horizontal="center" vertical="center" wrapText="1"/>
    </xf>
    <xf numFmtId="0" fontId="0" fillId="0" borderId="23" xfId="0" applyFont="1" applyBorder="1">
      <alignment horizontal="center" vertical="center" wrapText="1"/>
    </xf>
    <xf numFmtId="0" fontId="0" fillId="0" borderId="17" xfId="0" applyFont="1" applyBorder="1">
      <alignment horizontal="center" vertical="center" wrapText="1"/>
    </xf>
    <xf numFmtId="0" fontId="0" fillId="0" borderId="23" xfId="0" applyFont="1" applyBorder="1">
      <alignment horizontal="center" vertical="center" wrapText="1"/>
    </xf>
    <xf numFmtId="49" fontId="35" fillId="35" borderId="15" xfId="0" applyFont="1" applyFill="1" applyBorder="1" applyNumberFormat="1">
      <alignment horizontal="center" vertical="center" wrapText="1"/>
    </xf>
    <xf numFmtId="0" fontId="22" fillId="0" borderId="0" xfId="0" applyFont="1">
      <alignment horizontal="left" vertical="center" wrapText="1" indent="1"/>
    </xf>
    <xf numFmtId="0" fontId="81" fillId="0" borderId="17" xfId="0" applyFont="1" applyBorder="1">
      <alignment horizontal="center" vertical="center" wrapText="1"/>
    </xf>
    <xf numFmtId="49" fontId="46" fillId="0" borderId="0" xfId="0" applyFont="1" applyNumberFormat="1">
      <alignment vertical="top"/>
    </xf>
    <xf numFmtId="0" fontId="94" fillId="0" borderId="0" xfId="0" applyFont="1">
      <alignment vertical="center" wrapText="1"/>
    </xf>
    <xf numFmtId="0" fontId="0" fillId="0" borderId="0" xfId="0" applyFont="1">
      <alignment vertical="top"/>
    </xf>
    <xf numFmtId="49" fontId="0" fillId="0" borderId="12" xfId="0" applyFont="1" applyBorder="1" applyNumberFormat="1">
      <alignment vertical="top"/>
    </xf>
    <xf numFmtId="49" fontId="22" fillId="0" borderId="0" xfId="0" applyFont="1" applyNumberFormat="1">
      <alignment vertical="top"/>
    </xf>
    <xf numFmtId="0" fontId="22" fillId="0" borderId="12" xfId="0" applyFont="1" applyBorder="1">
      <alignment horizontal="left" vertical="top" wrapText="1"/>
    </xf>
    <xf numFmtId="49" fontId="95" fillId="0" borderId="0" xfId="0" applyFont="1" applyNumberFormat="1">
      <alignment horizontal="center" vertical="top" wrapText="1"/>
    </xf>
    <xf numFmtId="49" fontId="95" fillId="0" borderId="0" xfId="0" applyFont="1" applyNumberFormat="1">
      <alignment vertical="top" wrapText="1"/>
    </xf>
    <xf numFmtId="49" fontId="91" fillId="41" borderId="12" xfId="0" applyFont="1" applyFill="1" applyBorder="1" applyNumberFormat="1">
      <alignment horizontal="center" vertical="top" wrapText="1"/>
    </xf>
    <xf numFmtId="49" fontId="95" fillId="0" borderId="0" xfId="0" applyFont="1" applyNumberFormat="1">
      <alignment horizontal="left" vertical="top" wrapText="1"/>
    </xf>
    <xf numFmtId="49" fontId="95" fillId="0" borderId="12" xfId="0" applyFont="1" applyBorder="1" applyNumberFormat="1">
      <alignment horizontal="left" vertical="top" wrapText="1"/>
    </xf>
    <xf numFmtId="0" fontId="95" fillId="0" borderId="12" xfId="0" applyFont="1" applyBorder="1">
      <alignment horizontal="left" vertical="top" wrapText="1"/>
    </xf>
    <xf numFmtId="0" fontId="95" fillId="41" borderId="12" xfId="0" applyFont="1" applyFill="1" applyBorder="1">
      <alignment horizontal="right" vertical="center" wrapText="1"/>
    </xf>
    <xf numFmtId="49" fontId="95" fillId="0" borderId="12" xfId="0" applyFont="1" applyBorder="1" applyNumberFormat="1">
      <alignment vertical="top" wrapText="1"/>
    </xf>
    <xf numFmtId="0" fontId="95" fillId="0" borderId="17" xfId="0" applyFont="1" applyBorder="1">
      <alignment horizontal="left" vertical="top" wrapText="1"/>
    </xf>
    <xf numFmtId="0" fontId="95" fillId="0" borderId="13" xfId="0" applyFont="1" applyBorder="1">
      <alignment horizontal="left" vertical="top" wrapText="1"/>
    </xf>
    <xf numFmtId="0" fontId="95" fillId="0" borderId="12" xfId="0" applyFont="1" applyBorder="1">
      <alignment vertical="top" wrapText="1"/>
    </xf>
    <xf numFmtId="0" fontId="91" fillId="41" borderId="12" xfId="0" applyFont="1" applyFill="1" applyBorder="1">
      <alignment horizontal="center" vertical="top" wrapText="1"/>
    </xf>
    <xf numFmtId="0" fontId="95" fillId="0" borderId="0" xfId="0" applyFont="1">
      <alignment vertical="top" wrapText="1"/>
    </xf>
    <xf numFmtId="0" fontId="90" fillId="0" borderId="0" xfId="0" applyFont="1">
      <alignment vertical="center" wrapText="1"/>
    </xf>
    <xf numFmtId="0" fontId="45" fillId="0" borderId="0" xfId="0" applyFont="1">
      <alignment horizontal="left" vertical="center" wrapText="1" indent="3"/>
    </xf>
    <xf numFmtId="3" fontId="0" fillId="0" borderId="13" xfId="0" applyFont="1" applyBorder="1" applyNumberFormat="1">
      <alignment horizontal="right" vertical="center" wrapText="1"/>
    </xf>
    <xf numFmtId="0" fontId="22" fillId="40" borderId="14" xfId="0" applyFont="1" applyFill="1" applyBorder="1">
      <alignment horizontal="left" vertical="center" wrapText="1"/>
    </xf>
    <xf numFmtId="49" fontId="35" fillId="35" borderId="12" xfId="0" applyFont="1" applyFill="1" applyBorder="1" applyNumberFormat="1">
      <alignment horizontal="center" vertical="center" wrapText="1"/>
    </xf>
    <xf numFmtId="49" fontId="73" fillId="37" borderId="13" xfId="0" applyFont="1" applyFill="1" applyBorder="1" applyNumberFormat="1">
      <alignment vertical="center"/>
    </xf>
    <xf numFmtId="49" fontId="22" fillId="35" borderId="0" xfId="0" applyFont="1" applyFill="1" applyNumberFormat="1">
      <alignment horizontal="center" vertical="center" wrapText="1"/>
    </xf>
    <xf numFmtId="0" fontId="22" fillId="35" borderId="0" xfId="0" applyFont="1" applyFill="1">
      <alignment horizontal="center" vertical="top" wrapText="1"/>
    </xf>
    <xf numFmtId="49" fontId="0" fillId="39" borderId="12" xfId="0" applyFont="1" applyFill="1" applyBorder="1" applyNumberFormat="1">
      <alignment horizontal="left" vertical="center" wrapText="1" indent="1"/>
      <protection locked="0"/>
    </xf>
    <xf numFmtId="49" fontId="22" fillId="39" borderId="14" xfId="0" applyFont="1" applyFill="1" applyBorder="1" applyNumberFormat="1">
      <alignment horizontal="left" vertical="center" wrapText="1"/>
      <protection locked="0"/>
    </xf>
    <xf numFmtId="49" fontId="22" fillId="39" borderId="12" xfId="0" applyFont="1" applyFill="1" applyBorder="1" applyNumberFormat="1" quotePrefix="1">
      <alignment horizontal="left" vertical="center" wrapText="1"/>
      <protection locked="0"/>
    </xf>
    <xf numFmtId="14" fontId="22" fillId="40" borderId="23" xfId="0" applyFont="1" applyFill="1" applyBorder="1" applyNumberFormat="1">
      <alignment horizontal="left" vertical="center" wrapText="1"/>
    </xf>
    <xf numFmtId="0" fontId="47" fillId="35" borderId="23" xfId="0" applyFont="1" applyFill="1" applyBorder="1">
      <alignment horizontal="center" vertical="center" wrapText="1"/>
    </xf>
    <xf numFmtId="0" fontId="36" fillId="35" borderId="24" xfId="0" applyFont="1" applyFill="1" applyBorder="1">
      <alignment vertical="top" wrapText="1"/>
    </xf>
    <xf numFmtId="0" fontId="36" fillId="35" borderId="0" xfId="0" applyFont="1" applyFill="1">
      <alignment vertical="top" wrapText="1"/>
    </xf>
    <xf numFmtId="14" fontId="22" fillId="40" borderId="29" xfId="0" applyFont="1" applyFill="1" applyBorder="1" applyNumberFormat="1">
      <alignment horizontal="left" vertical="center" wrapText="1"/>
    </xf>
    <xf numFmtId="0" fontId="47" fillId="35" borderId="12" xfId="0" applyFont="1" applyFill="1" applyBorder="1">
      <alignment horizontal="center" vertical="center" wrapText="1"/>
    </xf>
    <xf numFmtId="0" fontId="39" fillId="37" borderId="15" xfId="0" applyFont="1" applyFill="1" applyBorder="1">
      <alignment vertical="center"/>
    </xf>
    <xf numFmtId="0" fontId="48" fillId="0" borderId="0" xfId="0" applyFont="1">
      <alignment vertical="center"/>
    </xf>
    <xf numFmtId="0" fontId="47" fillId="0" borderId="0" xfId="0" applyFont="1">
      <alignment vertical="center" wrapText="1"/>
    </xf>
    <xf numFmtId="49" fontId="46" fillId="0" borderId="0" xfId="0" applyFont="1" applyNumberFormat="1">
      <alignment vertical="center" wrapText="1"/>
    </xf>
    <xf numFmtId="49" fontId="46" fillId="0" borderId="0" xfId="0" applyFont="1" applyNumberFormat="1">
      <alignment vertical="top"/>
    </xf>
    <xf numFmtId="0" fontId="88" fillId="0" borderId="0" xfId="0" applyFont="1">
      <alignment vertical="center" wrapText="1"/>
    </xf>
    <xf numFmtId="0" fontId="96" fillId="0" borderId="0" xfId="0" applyFont="1">
      <alignment vertical="center" wrapText="1"/>
    </xf>
    <xf numFmtId="0" fontId="46" fillId="0" borderId="0" xfId="0" applyFont="1">
      <alignment vertical="center" wrapText="1"/>
    </xf>
    <xf numFmtId="0" fontId="88" fillId="0" borderId="0" xfId="0" applyFont="1">
      <alignment horizontal="center" vertical="center" wrapText="1"/>
    </xf>
    <xf numFmtId="0" fontId="46" fillId="0" borderId="0" xfId="0" applyFont="1">
      <alignment vertical="center" wrapText="1"/>
    </xf>
    <xf numFmtId="14" fontId="22" fillId="35" borderId="0" xfId="0" applyFont="1" applyFill="1" applyNumberFormat="1">
      <alignment horizontal="left" vertical="center" wrapText="1"/>
    </xf>
    <xf numFmtId="49" fontId="0" fillId="5" borderId="14" xfId="0" applyFont="1" applyFill="1" applyBorder="1" applyNumberFormat="1">
      <alignment vertical="top"/>
    </xf>
    <xf numFmtId="49" fontId="0" fillId="0" borderId="12" xfId="0" applyFont="1" applyBorder="1" applyNumberFormat="1">
      <alignment horizontal="left" vertical="center" wrapText="1"/>
    </xf>
    <xf numFmtId="49" fontId="22" fillId="0" borderId="0" xfId="0" applyFont="1" applyNumberFormat="1">
      <alignment vertical="center" wrapText="1"/>
    </xf>
    <xf numFmtId="0" fontId="0" fillId="0" borderId="12" xfId="0" applyFont="1" applyBorder="1">
      <alignment horizontal="left" vertical="center" wrapText="1" indent="1"/>
    </xf>
    <xf numFmtId="49" fontId="0" fillId="35" borderId="12" xfId="0" applyFont="1" applyFill="1" applyBorder="1" applyNumberFormat="1">
      <alignment horizontal="center" vertical="center" wrapText="1"/>
    </xf>
    <xf numFmtId="0" fontId="0" fillId="35" borderId="12" xfId="0" applyFont="1" applyFill="1" applyBorder="1">
      <alignment horizontal="center" vertical="center" wrapText="1"/>
    </xf>
    <xf numFmtId="0" fontId="0" fillId="39" borderId="14" xfId="0" applyFont="1" applyFill="1" applyBorder="1">
      <alignment horizontal="left" vertical="center" wrapText="1" indent="2"/>
      <protection locked="0"/>
    </xf>
    <xf numFmtId="0" fontId="22" fillId="0" borderId="15" xfId="0" applyFont="1" applyBorder="1">
      <alignment horizontal="right" vertical="center" wrapText="1" indent="1"/>
    </xf>
    <xf numFmtId="0" fontId="22" fillId="0" borderId="13" xfId="0" applyFont="1" applyBorder="1">
      <alignment horizontal="right" vertical="center" wrapText="1" indent="1"/>
    </xf>
    <xf numFmtId="0" fontId="97" fillId="35" borderId="0" xfId="0" applyFont="1" applyFill="1">
      <alignment horizontal="right" vertical="center"/>
    </xf>
    <xf numFmtId="49" fontId="95" fillId="0" borderId="13" xfId="0" applyFont="1" applyBorder="1" applyNumberFormat="1">
      <alignment horizontal="left" vertical="top" wrapText="1"/>
    </xf>
    <xf numFmtId="49" fontId="95" fillId="0" borderId="14" xfId="0" applyFont="1" applyBorder="1" applyNumberFormat="1">
      <alignment horizontal="left" vertical="top" wrapText="1"/>
    </xf>
    <xf numFmtId="0" fontId="95" fillId="0" borderId="17" xfId="0" applyFont="1" applyBorder="1">
      <alignment vertical="top" wrapText="1"/>
    </xf>
    <xf numFmtId="0" fontId="95" fillId="0" borderId="36" xfId="0" applyFont="1" applyBorder="1">
      <alignment horizontal="left" vertical="top" wrapText="1"/>
    </xf>
    <xf numFmtId="49" fontId="95" fillId="0" borderId="30" xfId="0" applyFont="1" applyBorder="1" applyNumberFormat="1">
      <alignment horizontal="left" vertical="top" wrapText="1"/>
    </xf>
    <xf numFmtId="49" fontId="46" fillId="0" borderId="0" xfId="0" applyFont="1" applyNumberFormat="1">
      <alignment horizontal="center" vertical="center" wrapText="1"/>
    </xf>
    <xf numFmtId="49" fontId="47" fillId="0" borderId="0" xfId="0" applyFont="1" applyNumberFormat="1">
      <alignment horizontal="center" vertical="center" wrapText="1"/>
    </xf>
    <xf numFmtId="0" fontId="22" fillId="0" borderId="12" xfId="0" applyFont="1" applyBorder="1">
      <alignment horizontal="left" vertical="center" wrapText="1"/>
    </xf>
    <xf numFmtId="49" fontId="95" fillId="0" borderId="12" xfId="0" applyFont="1" applyBorder="1" applyNumberFormat="1">
      <alignment horizontal="center" vertical="top" wrapText="1"/>
    </xf>
    <xf numFmtId="0" fontId="95" fillId="41" borderId="12" xfId="0" applyFont="1" applyFill="1" applyBorder="1">
      <alignment horizontal="center" vertical="center" wrapText="1"/>
    </xf>
    <xf numFmtId="49" fontId="95" fillId="0" borderId="37" xfId="0" applyFont="1" applyBorder="1" applyNumberFormat="1">
      <alignment horizontal="center" vertical="top" wrapText="1"/>
    </xf>
    <xf numFmtId="49" fontId="95" fillId="0" borderId="17" xfId="0" applyFont="1" applyBorder="1" applyNumberFormat="1">
      <alignment horizontal="center" vertical="top" wrapText="1"/>
    </xf>
    <xf numFmtId="49" fontId="39" fillId="37" borderId="14" xfId="0" applyFont="1" applyFill="1" applyBorder="1" applyNumberFormat="1">
      <alignment horizontal="left" vertical="center" indent="1"/>
    </xf>
    <xf numFmtId="0" fontId="0" fillId="35" borderId="17" xfId="0" applyFont="1" applyFill="1" applyBorder="1">
      <alignment horizontal="center" vertical="center" wrapText="1"/>
    </xf>
    <xf numFmtId="0" fontId="22" fillId="35" borderId="17" xfId="0" applyFont="1" applyFill="1" applyBorder="1">
      <alignment horizontal="center" vertical="center" wrapText="1"/>
    </xf>
    <xf numFmtId="49" fontId="98" fillId="0" borderId="0" xfId="0" applyFont="1" applyNumberFormat="1">
      <alignment horizontal="center" vertical="center" wrapText="1"/>
    </xf>
    <xf numFmtId="0" fontId="22" fillId="0" borderId="0" xfId="0" applyFont="1">
      <alignment vertical="center" wrapText="1"/>
    </xf>
    <xf numFmtId="49" fontId="22" fillId="0" borderId="0" xfId="0" applyFont="1" applyNumberFormat="1">
      <alignment vertical="top"/>
    </xf>
    <xf numFmtId="0" fontId="22" fillId="35" borderId="0" xfId="0" applyFont="1" applyFill="1">
      <alignment vertical="center" wrapText="1"/>
    </xf>
    <xf numFmtId="0" fontId="22" fillId="0" borderId="38" xfId="0" applyFont="1" applyBorder="1">
      <alignment vertical="center" wrapText="1"/>
    </xf>
    <xf numFmtId="0" fontId="46" fillId="0" borderId="0" xfId="0" applyFont="1">
      <alignment vertical="center" wrapText="1"/>
    </xf>
    <xf numFmtId="49" fontId="22" fillId="0" borderId="0" xfId="0" applyFont="1" applyNumberFormat="1">
      <alignment vertical="top"/>
    </xf>
    <xf numFmtId="0" fontId="22" fillId="35" borderId="0" xfId="0" applyFont="1" applyFill="1">
      <alignment vertical="center" wrapText="1"/>
    </xf>
    <xf numFmtId="49" fontId="22" fillId="0" borderId="0" xfId="0" applyFont="1" applyNumberFormat="1">
      <alignment vertical="top"/>
    </xf>
    <xf numFmtId="0" fontId="22" fillId="0" borderId="0" xfId="0" applyFont="1">
      <alignment vertical="center"/>
    </xf>
    <xf numFmtId="0" fontId="0" fillId="35" borderId="17" xfId="0" applyFont="1" applyFill="1" applyBorder="1">
      <alignment horizontal="center" vertical="center" wrapText="1"/>
    </xf>
    <xf numFmtId="0" fontId="0" fillId="35" borderId="37" xfId="0" applyFont="1" applyFill="1" applyBorder="1">
      <alignment horizontal="center" vertical="center" wrapText="1"/>
    </xf>
    <xf numFmtId="0" fontId="22" fillId="37" borderId="29" xfId="0" applyFont="1" applyFill="1" applyBorder="1">
      <alignment vertical="center" wrapText="1"/>
    </xf>
    <xf numFmtId="0" fontId="22" fillId="0" borderId="0" xfId="0" applyFont="1">
      <alignment vertical="center" wrapText="1"/>
    </xf>
    <xf numFmtId="0" fontId="22" fillId="35" borderId="39" xfId="0" applyFont="1" applyFill="1" applyBorder="1">
      <alignment vertical="center" wrapText="1"/>
    </xf>
    <xf numFmtId="0" fontId="49" fillId="35" borderId="39" xfId="0" applyFont="1" applyFill="1" applyBorder="1">
      <alignment horizontal="center" wrapText="1"/>
    </xf>
    <xf numFmtId="49" fontId="73" fillId="0" borderId="39" xfId="0" applyFont="1" applyBorder="1" applyNumberFormat="1">
      <alignment vertical="top"/>
    </xf>
    <xf numFmtId="49" fontId="44" fillId="0" borderId="0" xfId="0" applyFont="1" applyNumberFormat="1">
      <alignment vertical="center"/>
    </xf>
    <xf numFmtId="49" fontId="99" fillId="0" borderId="0" xfId="0" applyFont="1" applyNumberFormat="1">
      <alignment vertical="center"/>
    </xf>
    <xf numFmtId="49" fontId="44" fillId="0" borderId="0" xfId="0" applyFont="1" applyNumberFormat="1">
      <alignment vertical="center"/>
    </xf>
    <xf numFmtId="49" fontId="44" fillId="0" borderId="0" xfId="0" applyFont="1" applyNumberFormat="1">
      <alignment vertical="center"/>
    </xf>
    <xf numFmtId="49" fontId="44" fillId="0" borderId="0" xfId="0" applyFont="1" applyNumberFormat="1">
      <alignment vertical="center" wrapText="1"/>
    </xf>
    <xf numFmtId="49" fontId="99" fillId="0" borderId="0" xfId="0" applyFont="1" applyNumberFormat="1">
      <alignment vertical="center" wrapText="1"/>
    </xf>
    <xf numFmtId="49" fontId="44" fillId="0" borderId="0" xfId="0" applyFont="1" applyNumberFormat="1">
      <alignment vertical="center" wrapText="1"/>
    </xf>
    <xf numFmtId="49" fontId="44" fillId="0" borderId="0" xfId="0" applyFont="1" applyNumberFormat="1">
      <alignment vertical="top"/>
    </xf>
    <xf numFmtId="49" fontId="44" fillId="0" borderId="0" xfId="0" applyFont="1" applyNumberFormat="1">
      <alignment vertical="center" wrapText="1"/>
    </xf>
    <xf numFmtId="49" fontId="44" fillId="0" borderId="0" xfId="0" applyFont="1" applyNumberFormat="1">
      <alignment horizontal="center" vertical="center" wrapText="1"/>
    </xf>
    <xf numFmtId="49" fontId="99" fillId="0" borderId="0" xfId="0" applyFont="1" applyNumberFormat="1">
      <alignment horizontal="center" vertical="center" wrapText="1"/>
    </xf>
    <xf numFmtId="49" fontId="44" fillId="0" borderId="0" xfId="0" applyFont="1" applyNumberFormat="1">
      <alignment horizontal="center" vertical="center" wrapText="1"/>
    </xf>
    <xf numFmtId="49" fontId="99" fillId="0" borderId="0" xfId="0" applyFont="1" applyNumberFormat="1">
      <alignment horizontal="center" vertical="center" wrapText="1"/>
    </xf>
    <xf numFmtId="0" fontId="44" fillId="0" borderId="0" xfId="0" applyFont="1">
      <alignment horizontal="center" vertical="center" wrapText="1"/>
    </xf>
    <xf numFmtId="49" fontId="99" fillId="0" borderId="0" xfId="0" applyFont="1" applyNumberFormat="1">
      <alignment vertical="center" wrapText="1"/>
    </xf>
    <xf numFmtId="49" fontId="44" fillId="35" borderId="0" xfId="0" applyFont="1" applyFill="1" applyNumberFormat="1">
      <alignment vertical="center" wrapText="1"/>
    </xf>
    <xf numFmtId="49" fontId="44" fillId="0" borderId="0" xfId="0" applyFont="1" applyNumberFormat="1">
      <alignment vertical="top"/>
    </xf>
    <xf numFmtId="49" fontId="44" fillId="35" borderId="0" xfId="0" applyFont="1" applyFill="1" applyNumberFormat="1">
      <alignment vertical="center"/>
    </xf>
    <xf numFmtId="49" fontId="99" fillId="0" borderId="0" xfId="0" applyFont="1" applyNumberFormat="1">
      <alignment vertical="center"/>
    </xf>
    <xf numFmtId="49" fontId="44" fillId="0" borderId="0" xfId="0" applyFont="1" applyNumberFormat="1">
      <alignment vertical="top"/>
    </xf>
    <xf numFmtId="4" fontId="44" fillId="35" borderId="0" xfId="0" applyFont="1" applyFill="1" applyNumberFormat="1">
      <alignment vertical="center"/>
    </xf>
    <xf numFmtId="49" fontId="31" fillId="0" borderId="0" xfId="0" applyFont="1" applyNumberFormat="1">
      <alignment horizontal="center" vertical="center" wrapText="1"/>
    </xf>
    <xf numFmtId="49" fontId="22" fillId="0" borderId="0" xfId="0" applyFont="1" applyNumberFormat="1">
      <alignment horizontal="center" vertical="center" wrapText="1"/>
    </xf>
    <xf numFmtId="49" fontId="22" fillId="35" borderId="0" xfId="0" applyFont="1" applyFill="1" applyNumberFormat="1">
      <alignment horizontal="center" vertical="center" wrapText="1"/>
    </xf>
    <xf numFmtId="49" fontId="47" fillId="0" borderId="13" xfId="0" applyFont="1" applyBorder="1" applyNumberFormat="1">
      <alignment horizontal="left" vertical="center" indent="1"/>
    </xf>
    <xf numFmtId="0" fontId="22" fillId="0" borderId="24" xfId="0" applyFont="1" applyBorder="1">
      <alignment vertical="top" wrapText="1"/>
    </xf>
    <xf numFmtId="0" fontId="22" fillId="0" borderId="14" xfId="0" applyFont="1" applyBorder="1">
      <alignment horizontal="center" vertical="center" wrapText="1"/>
    </xf>
    <xf numFmtId="0" fontId="22" fillId="0" borderId="17" xfId="0" applyFont="1" applyBorder="1">
      <alignment horizontal="center" vertical="center" wrapText="1"/>
    </xf>
    <xf numFmtId="0" fontId="22" fillId="0" borderId="12" xfId="0" applyFont="1" applyBorder="1">
      <alignment horizontal="center" vertical="center" wrapText="1"/>
    </xf>
    <xf numFmtId="49" fontId="46" fillId="0" borderId="0" xfId="0" applyFont="1" applyNumberFormat="1">
      <alignment horizontal="center" vertical="center" wrapText="1"/>
    </xf>
    <xf numFmtId="49" fontId="47" fillId="0" borderId="0" xfId="0" applyFont="1" applyNumberFormat="1">
      <alignment horizontal="center" vertical="center" wrapText="1"/>
    </xf>
    <xf numFmtId="49" fontId="22" fillId="0" borderId="12" xfId="0" applyFont="1" applyBorder="1" applyNumberFormat="1">
      <alignment horizontal="center" vertical="center" wrapText="1"/>
    </xf>
    <xf numFmtId="0" fontId="22" fillId="0" borderId="12" xfId="0" applyFont="1" applyBorder="1">
      <alignment horizontal="left" vertical="center" wrapText="1" indent="1"/>
    </xf>
    <xf numFmtId="49" fontId="22" fillId="39" borderId="12" xfId="0" applyFont="1" applyFill="1" applyBorder="1" applyNumberFormat="1">
      <alignment horizontal="left" vertical="center" wrapText="1"/>
      <protection locked="0"/>
    </xf>
    <xf numFmtId="0" fontId="36" fillId="0" borderId="0" xfId="0" applyFont="1">
      <alignment horizontal="center" vertical="center" wrapText="1"/>
    </xf>
    <xf numFmtId="49" fontId="91" fillId="0" borderId="12" xfId="0" applyFont="1" applyBorder="1" applyNumberFormat="1">
      <alignment horizontal="center" vertical="center" wrapText="1"/>
    </xf>
    <xf numFmtId="0" fontId="91" fillId="0" borderId="12" xfId="0" applyFont="1" applyBorder="1">
      <alignment horizontal="center" vertical="center" wrapText="1"/>
    </xf>
    <xf numFmtId="49" fontId="91" fillId="0" borderId="17" xfId="0" applyFont="1" applyBorder="1" applyNumberFormat="1">
      <alignment horizontal="center" vertical="center" wrapText="1"/>
    </xf>
    <xf numFmtId="49" fontId="91" fillId="0" borderId="23" xfId="0" applyFont="1" applyBorder="1" applyNumberFormat="1">
      <alignment horizontal="center" vertical="center" wrapText="1"/>
    </xf>
    <xf numFmtId="0" fontId="91" fillId="0" borderId="17" xfId="0" applyFont="1" applyBorder="1">
      <alignment horizontal="center" vertical="center" wrapText="1"/>
    </xf>
    <xf numFmtId="49" fontId="95" fillId="0" borderId="22" xfId="0" applyFont="1" applyBorder="1" applyNumberFormat="1">
      <alignment horizontal="center" vertical="top" wrapText="1"/>
    </xf>
    <xf numFmtId="49" fontId="95" fillId="0" borderId="36" xfId="0" applyFont="1" applyBorder="1" applyNumberFormat="1">
      <alignment horizontal="left" vertical="top" wrapText="1"/>
    </xf>
    <xf numFmtId="0" fontId="91" fillId="0" borderId="12" xfId="0" applyFont="1" applyBorder="1">
      <alignment vertical="center" wrapText="1"/>
    </xf>
    <xf numFmtId="0" fontId="91" fillId="0" borderId="17" xfId="0" applyFont="1" applyBorder="1">
      <alignment vertical="center" wrapText="1"/>
    </xf>
    <xf numFmtId="0" fontId="91" fillId="0" borderId="23" xfId="0" applyFont="1" applyBorder="1">
      <alignment vertical="center" wrapText="1"/>
    </xf>
    <xf numFmtId="49" fontId="91" fillId="0" borderId="12" xfId="0" applyFont="1" applyBorder="1" applyNumberFormat="1">
      <alignment horizontal="left" vertical="top" wrapText="1"/>
    </xf>
    <xf numFmtId="178" fontId="22" fillId="39" borderId="17" xfId="0" applyFont="1" applyFill="1" applyBorder="1" applyNumberFormat="1">
      <alignment horizontal="right" vertical="center" wrapText="1"/>
      <protection locked="0"/>
    </xf>
    <xf numFmtId="0" fontId="22" fillId="0" borderId="13" xfId="0" applyFont="1" applyBorder="1">
      <alignment horizontal="center" vertical="center" wrapText="1"/>
    </xf>
    <xf numFmtId="0" fontId="22" fillId="0" borderId="20" xfId="0" applyFont="1" applyBorder="1">
      <alignment horizontal="center" vertical="center" wrapText="1"/>
    </xf>
    <xf numFmtId="49" fontId="22" fillId="37" borderId="37" xfId="0" applyFont="1" applyFill="1" applyBorder="1" applyNumberFormat="1">
      <alignment vertical="center" wrapText="1"/>
    </xf>
    <xf numFmtId="49" fontId="39" fillId="37" borderId="19" xfId="0" applyFont="1" applyFill="1" applyBorder="1" applyNumberFormat="1">
      <alignment horizontal="left" vertical="center" indent="1"/>
    </xf>
    <xf numFmtId="49" fontId="22" fillId="37" borderId="37" xfId="0" applyFont="1" applyFill="1" applyBorder="1" applyNumberFormat="1">
      <alignment vertical="center" wrapText="1"/>
    </xf>
    <xf numFmtId="49" fontId="39" fillId="37" borderId="19" xfId="0" applyFont="1" applyFill="1" applyBorder="1" applyNumberFormat="1">
      <alignment horizontal="left" vertical="center" indent="1"/>
    </xf>
    <xf numFmtId="0" fontId="72" fillId="0" borderId="0" xfId="0" applyFont="1">
      <alignment horizontal="center" vertical="center" wrapText="1"/>
    </xf>
    <xf numFmtId="4" fontId="22" fillId="39" borderId="13" xfId="0" applyFont="1" applyFill="1" applyBorder="1" applyNumberFormat="1">
      <alignment horizontal="right" vertical="center" wrapText="1"/>
      <protection locked="0"/>
    </xf>
    <xf numFmtId="178" fontId="22" fillId="39" borderId="13" xfId="0" applyFont="1" applyFill="1" applyBorder="1" applyNumberFormat="1">
      <alignment horizontal="right" vertical="center" wrapText="1"/>
      <protection locked="0"/>
    </xf>
    <xf numFmtId="178" fontId="22" fillId="34" borderId="13" xfId="0" applyFont="1" applyFill="1" applyBorder="1" applyNumberFormat="1">
      <alignment horizontal="right" vertical="center" wrapText="1"/>
    </xf>
    <xf numFmtId="4" fontId="22" fillId="39" borderId="29" xfId="0" applyFont="1" applyFill="1" applyBorder="1" applyNumberFormat="1">
      <alignment horizontal="right" vertical="center" wrapText="1"/>
      <protection locked="0"/>
    </xf>
    <xf numFmtId="49" fontId="91" fillId="41" borderId="12" xfId="0" applyFont="1" applyFill="1" applyBorder="1" applyNumberFormat="1">
      <alignment horizontal="center" vertical="top"/>
    </xf>
    <xf numFmtId="49" fontId="95" fillId="0" borderId="0" xfId="0" applyFont="1" applyNumberFormat="1">
      <alignment vertical="top"/>
    </xf>
    <xf numFmtId="49" fontId="91" fillId="0" borderId="12" xfId="0" applyFont="1" applyBorder="1" applyNumberFormat="1">
      <alignment horizontal="center" vertical="top" wrapText="1"/>
    </xf>
    <xf numFmtId="49" fontId="91" fillId="0" borderId="12" xfId="0" applyFont="1" applyBorder="1" applyNumberFormat="1">
      <alignment vertical="top" wrapText="1"/>
    </xf>
    <xf numFmtId="0" fontId="91" fillId="0" borderId="12" xfId="0" applyFont="1" applyBorder="1">
      <alignment vertical="top" wrapText="1"/>
    </xf>
    <xf numFmtId="49" fontId="91" fillId="0" borderId="12" xfId="0" applyFont="1" applyBorder="1" applyNumberFormat="1">
      <alignment vertical="top"/>
    </xf>
    <xf numFmtId="49" fontId="95" fillId="0" borderId="12" xfId="0" applyFont="1" applyBorder="1" applyNumberFormat="1">
      <alignment vertical="top"/>
    </xf>
    <xf numFmtId="49" fontId="91" fillId="0" borderId="0" xfId="0" applyFont="1" applyNumberFormat="1">
      <alignment horizontal="center" vertical="center" wrapText="1"/>
    </xf>
    <xf numFmtId="49" fontId="91" fillId="0" borderId="0" xfId="0" applyFont="1" applyNumberFormat="1">
      <alignment horizontal="left" vertical="center" wrapText="1"/>
    </xf>
    <xf numFmtId="49" fontId="91" fillId="46" borderId="0" xfId="0" applyFont="1" applyFill="1" applyNumberFormat="1">
      <alignment horizontal="center" vertical="center" wrapText="1"/>
    </xf>
    <xf numFmtId="0" fontId="91" fillId="0" borderId="0" xfId="0" applyFont="1">
      <alignment vertical="center" wrapText="1"/>
    </xf>
    <xf numFmtId="0" fontId="47" fillId="0" borderId="12" xfId="0" applyFont="1" applyBorder="1">
      <alignment horizontal="left" vertical="center" wrapText="1" indent="3"/>
    </xf>
    <xf numFmtId="49" fontId="47" fillId="0" borderId="12" xfId="0" applyFont="1" applyBorder="1" applyNumberFormat="1">
      <alignment vertical="center" wrapText="1"/>
    </xf>
    <xf numFmtId="0" fontId="47" fillId="0" borderId="17" xfId="0" applyFont="1" applyBorder="1">
      <alignment vertical="top" wrapText="1"/>
    </xf>
    <xf numFmtId="0" fontId="47" fillId="0" borderId="36" xfId="0" applyFont="1" applyBorder="1">
      <alignment horizontal="left" vertical="center" wrapText="1" indent="1"/>
    </xf>
    <xf numFmtId="0" fontId="47" fillId="0" borderId="36" xfId="0" applyFont="1" applyBorder="1">
      <alignment horizontal="center" vertical="center" wrapText="1"/>
    </xf>
    <xf numFmtId="0" fontId="47" fillId="0" borderId="17" xfId="0" applyFont="1" applyBorder="1">
      <alignment vertical="center" wrapText="1"/>
    </xf>
    <xf numFmtId="0" fontId="47" fillId="0" borderId="23" xfId="0" applyFont="1" applyBorder="1">
      <alignment horizontal="left" vertical="center" wrapText="1" indent="1"/>
    </xf>
    <xf numFmtId="0" fontId="47" fillId="0" borderId="17" xfId="0" applyFont="1" applyBorder="1">
      <alignment horizontal="left" vertical="center" wrapText="1" indent="1"/>
    </xf>
    <xf numFmtId="49" fontId="95" fillId="41" borderId="12" xfId="0" applyFont="1" applyFill="1" applyBorder="1" applyNumberFormat="1">
      <alignment horizontal="center" vertical="top" wrapText="1"/>
    </xf>
    <xf numFmtId="49" fontId="95" fillId="41" borderId="12" xfId="0" applyFont="1" applyFill="1" applyBorder="1" applyNumberFormat="1">
      <alignment horizontal="left" vertical="top" wrapText="1"/>
    </xf>
    <xf numFmtId="49" fontId="95" fillId="41" borderId="0" xfId="0" applyFont="1" applyFill="1" applyNumberFormat="1">
      <alignment horizontal="left" vertical="top" wrapText="1"/>
    </xf>
    <xf numFmtId="0" fontId="91" fillId="0" borderId="14" xfId="0" applyFont="1" applyBorder="1">
      <alignment horizontal="center" vertical="center" wrapText="1"/>
    </xf>
    <xf numFmtId="0" fontId="22" fillId="0" borderId="23" xfId="0" applyFont="1" applyBorder="1">
      <alignment vertical="top" wrapText="1"/>
    </xf>
    <xf numFmtId="0" fontId="22" fillId="0" borderId="23" xfId="0" applyFont="1" applyBorder="1">
      <alignment vertical="top" wrapText="1"/>
    </xf>
    <xf numFmtId="0" fontId="91" fillId="0" borderId="14" xfId="0" applyFont="1" applyBorder="1">
      <alignment horizontal="center" vertical="center"/>
    </xf>
    <xf numFmtId="49" fontId="47" fillId="35" borderId="12" xfId="0" applyFont="1" applyFill="1" applyBorder="1" applyNumberFormat="1">
      <alignment horizontal="center" vertical="center"/>
    </xf>
    <xf numFmtId="0" fontId="47" fillId="35" borderId="12" xfId="0" applyFont="1" applyFill="1" applyBorder="1">
      <alignment horizontal="left" vertical="center" wrapText="1" indent="1"/>
    </xf>
    <xf numFmtId="0" fontId="47" fillId="35" borderId="12" xfId="0" applyFont="1" applyFill="1" applyBorder="1">
      <alignment vertical="center" wrapText="1"/>
    </xf>
    <xf numFmtId="49" fontId="47" fillId="0" borderId="12" xfId="0" applyFont="1" applyBorder="1" applyNumberFormat="1">
      <alignment horizontal="center" vertical="center"/>
    </xf>
    <xf numFmtId="0" fontId="47" fillId="0" borderId="12" xfId="0" applyFont="1" applyBorder="1">
      <alignment horizontal="left" vertical="center" wrapText="1" indent="1"/>
    </xf>
    <xf numFmtId="0" fontId="47" fillId="0" borderId="12" xfId="0" applyFont="1" applyBorder="1">
      <alignment horizontal="left" vertical="center" wrapText="1"/>
    </xf>
    <xf numFmtId="0" fontId="47" fillId="0" borderId="12" xfId="0" applyFont="1" applyBorder="1">
      <alignment vertical="center" wrapText="1"/>
    </xf>
    <xf numFmtId="0" fontId="47" fillId="0" borderId="12" xfId="0" applyFont="1" applyBorder="1">
      <alignment horizontal="center" vertical="center" wrapText="1"/>
    </xf>
    <xf numFmtId="0" fontId="47" fillId="35" borderId="12" xfId="0" applyFont="1" applyFill="1" applyBorder="1">
      <alignment horizontal="left" vertical="center" wrapText="1" indent="2"/>
    </xf>
    <xf numFmtId="49" fontId="47" fillId="0" borderId="12" xfId="0" applyFont="1" applyBorder="1" applyNumberFormat="1">
      <alignment horizontal="left" vertical="center" wrapText="1"/>
    </xf>
    <xf numFmtId="49" fontId="47" fillId="0" borderId="12" xfId="0" applyFont="1" applyBorder="1" applyNumberFormat="1">
      <alignment horizontal="left" vertical="center" wrapText="1"/>
    </xf>
    <xf numFmtId="2" fontId="22" fillId="0" borderId="23" xfId="0" applyFont="1" applyBorder="1" applyNumberFormat="1">
      <alignment horizontal="center" vertical="center" wrapText="1"/>
    </xf>
    <xf numFmtId="0" fontId="100" fillId="0" borderId="0" xfId="0" applyFont="1">
      <alignment horizontal="center" vertical="center" wrapText="1"/>
    </xf>
    <xf numFmtId="0" fontId="101" fillId="35" borderId="0" xfId="0" applyFont="1" applyFill="1">
      <alignment horizontal="right" vertical="center"/>
    </xf>
    <xf numFmtId="0" fontId="22" fillId="0" borderId="23" xfId="0" applyFont="1" applyBorder="1">
      <alignment horizontal="left" vertical="center" wrapText="1"/>
    </xf>
    <xf numFmtId="49" fontId="46" fillId="0" borderId="0" xfId="0" applyFont="1" applyNumberFormat="1">
      <alignment horizontal="center" vertical="center" wrapText="1"/>
    </xf>
    <xf numFmtId="0" fontId="47" fillId="0" borderId="27" xfId="0" applyFont="1" applyBorder="1">
      <alignment vertical="center" wrapText="1"/>
    </xf>
    <xf numFmtId="49" fontId="53" fillId="0" borderId="14" xfId="0" applyFont="1" applyBorder="1" applyNumberFormat="1">
      <alignment horizontal="left" vertical="center" wrapText="1"/>
    </xf>
    <xf numFmtId="49" fontId="53" fillId="0" borderId="15" xfId="0" applyFont="1" applyBorder="1" applyNumberFormat="1">
      <alignment horizontal="left" vertical="center" wrapText="1"/>
    </xf>
    <xf numFmtId="49" fontId="47" fillId="0" borderId="0" xfId="0" applyFont="1" applyNumberFormat="1">
      <alignment horizontal="center" vertical="center" wrapText="1"/>
    </xf>
    <xf numFmtId="0" fontId="47" fillId="0" borderId="0" xfId="0" applyFont="1">
      <alignment horizontal="center" vertical="center" wrapText="1"/>
    </xf>
    <xf numFmtId="4" fontId="22" fillId="0" borderId="17" xfId="0" applyFont="1" applyBorder="1" applyNumberFormat="1">
      <alignment horizontal="center" vertical="center" wrapText="1"/>
    </xf>
    <xf numFmtId="4" fontId="22" fillId="0" borderId="32" xfId="0" applyFont="1" applyBorder="1" applyNumberFormat="1">
      <alignment horizontal="center" vertical="center" wrapText="1"/>
    </xf>
    <xf numFmtId="49" fontId="53" fillId="0" borderId="37" xfId="0" applyFont="1" applyBorder="1" applyNumberFormat="1">
      <alignment horizontal="left" vertical="center" wrapText="1"/>
    </xf>
    <xf numFmtId="49" fontId="53" fillId="0" borderId="30" xfId="0" applyFont="1" applyBorder="1" applyNumberFormat="1">
      <alignment horizontal="left" vertical="center" wrapText="1"/>
    </xf>
    <xf numFmtId="0" fontId="22" fillId="0" borderId="36" xfId="0" applyFont="1" applyBorder="1">
      <alignment vertical="center" wrapText="1"/>
    </xf>
    <xf numFmtId="0" fontId="22" fillId="0" borderId="32" xfId="0" applyFont="1" applyBorder="1">
      <alignment horizontal="left" vertical="center" wrapText="1"/>
    </xf>
    <xf numFmtId="49" fontId="46" fillId="0" borderId="0" xfId="0" applyFont="1" applyNumberFormat="1">
      <alignment horizontal="center" vertical="center" wrapText="1"/>
    </xf>
    <xf numFmtId="0" fontId="22" fillId="0" borderId="0" xfId="0" applyFont="1">
      <alignment vertical="top" wrapText="1"/>
    </xf>
    <xf numFmtId="0" fontId="22" fillId="0" borderId="0" xfId="0" applyFont="1">
      <alignment vertical="top"/>
    </xf>
    <xf numFmtId="4" fontId="22" fillId="0" borderId="40" xfId="0" applyFont="1" applyBorder="1" applyNumberFormat="1">
      <alignment horizontal="center" vertical="center" wrapText="1"/>
    </xf>
    <xf numFmtId="0" fontId="47" fillId="0" borderId="0" xfId="0" applyFont="1">
      <alignment horizontal="center" vertical="top"/>
    </xf>
    <xf numFmtId="49" fontId="47" fillId="0" borderId="0" xfId="0" applyFont="1" applyNumberFormat="1">
      <alignment vertical="top"/>
    </xf>
    <xf numFmtId="0" fontId="47" fillId="0" borderId="23" xfId="0" applyFont="1" applyBorder="1">
      <alignment vertical="center" wrapText="1"/>
    </xf>
    <xf numFmtId="4" fontId="47" fillId="0" borderId="12" xfId="0" applyFont="1" applyBorder="1" applyNumberFormat="1">
      <alignment horizontal="right" vertical="center" wrapText="1"/>
    </xf>
    <xf numFmtId="2" fontId="47" fillId="0" borderId="23" xfId="0" applyFont="1" applyBorder="1" applyNumberFormat="1">
      <alignment horizontal="center" vertical="center" wrapText="1"/>
    </xf>
    <xf numFmtId="0" fontId="47" fillId="0" borderId="12" xfId="0" applyFont="1" applyBorder="1">
      <alignment horizontal="left" vertical="center" wrapText="1"/>
    </xf>
    <xf numFmtId="49" fontId="47" fillId="0" borderId="14" xfId="0" applyFont="1" applyBorder="1" applyNumberFormat="1">
      <alignment horizontal="left" vertical="center"/>
    </xf>
    <xf numFmtId="49" fontId="47" fillId="0" borderId="15" xfId="0" applyFont="1" applyBorder="1" applyNumberFormat="1">
      <alignment horizontal="left" vertical="center" indent="1"/>
    </xf>
    <xf numFmtId="49" fontId="47" fillId="0" borderId="15" xfId="0" applyFont="1" applyBorder="1" applyNumberFormat="1">
      <alignment horizontal="left" vertical="center"/>
    </xf>
    <xf numFmtId="0" fontId="47" fillId="0" borderId="12" xfId="0" applyFont="1" applyBorder="1">
      <alignment horizontal="left" vertical="center" indent="1"/>
    </xf>
    <xf numFmtId="49" fontId="39" fillId="0" borderId="19" xfId="0" applyFont="1" applyBorder="1" applyNumberFormat="1">
      <alignment horizontal="right" vertical="center"/>
    </xf>
    <xf numFmtId="0" fontId="22" fillId="40" borderId="12" xfId="0" applyFont="1" applyFill="1" applyBorder="1">
      <alignment horizontal="left" vertical="center" wrapText="1" indent="1"/>
    </xf>
    <xf numFmtId="0" fontId="22" fillId="0" borderId="12" xfId="0" applyFont="1" applyBorder="1">
      <alignment horizontal="center" vertical="center" wrapText="1"/>
    </xf>
    <xf numFmtId="0" fontId="47" fillId="0" borderId="0" xfId="0" applyFont="1">
      <alignment horizontal="center" vertical="center" wrapText="1"/>
    </xf>
    <xf numFmtId="49" fontId="46" fillId="0" borderId="0" xfId="0" applyFont="1" applyNumberFormat="1">
      <alignment horizontal="center" vertical="center" wrapText="1"/>
    </xf>
    <xf numFmtId="49" fontId="47" fillId="0" borderId="0" xfId="0" applyFont="1" applyNumberFormat="1">
      <alignment horizontal="center" vertical="center" wrapText="1"/>
    </xf>
    <xf numFmtId="0" fontId="61" fillId="35" borderId="0" xfId="0" applyFont="1" applyFill="1">
      <alignment horizontal="left" vertical="center" wrapText="1" indent="1"/>
    </xf>
    <xf numFmtId="0" fontId="22" fillId="0" borderId="0" xfId="0" applyFont="1">
      <alignment horizontal="left" vertical="center" wrapText="1" indent="1"/>
    </xf>
    <xf numFmtId="49" fontId="53" fillId="36" borderId="13" xfId="0" applyFont="1" applyFill="1" applyBorder="1" applyNumberFormat="1">
      <alignment horizontal="left" vertical="center" wrapText="1"/>
      <protection locked="0"/>
    </xf>
    <xf numFmtId="49" fontId="22" fillId="0" borderId="0" xfId="0" applyFont="1" applyNumberFormat="1">
      <alignment horizontal="center" vertical="center" wrapText="1"/>
    </xf>
    <xf numFmtId="0" fontId="22" fillId="0" borderId="19" xfId="0" applyFont="1" applyBorder="1">
      <alignment vertical="center" wrapText="1"/>
    </xf>
    <xf numFmtId="0" fontId="22" fillId="0" borderId="27" xfId="0" applyFont="1" applyBorder="1">
      <alignment vertical="center" wrapText="1"/>
    </xf>
    <xf numFmtId="49" fontId="22" fillId="37" borderId="41" xfId="0" applyFont="1" applyFill="1" applyBorder="1" applyNumberFormat="1">
      <alignment horizontal="center" vertical="center" wrapText="1"/>
    </xf>
    <xf numFmtId="49" fontId="49" fillId="37" borderId="42" xfId="0" applyFont="1" applyFill="1" applyBorder="1" applyNumberFormat="1">
      <alignment horizontal="right" vertical="center" wrapText="1"/>
    </xf>
    <xf numFmtId="49" fontId="49" fillId="37" borderId="43" xfId="0" applyFont="1" applyFill="1" applyBorder="1" applyNumberFormat="1">
      <alignment horizontal="right" vertical="center" wrapText="1"/>
    </xf>
    <xf numFmtId="49" fontId="44" fillId="0" borderId="0" xfId="0" applyFont="1" applyNumberFormat="1">
      <alignment vertical="top"/>
    </xf>
    <xf numFmtId="49" fontId="44" fillId="0" borderId="0" xfId="0" applyFont="1" applyNumberFormat="1">
      <alignment vertical="center" wrapText="1"/>
    </xf>
    <xf numFmtId="0" fontId="44" fillId="0" borderId="0" xfId="0" applyFont="1">
      <alignment vertical="center" wrapText="1"/>
    </xf>
    <xf numFmtId="49" fontId="94" fillId="0" borderId="0" xfId="0" applyFont="1" applyNumberFormat="1">
      <alignment vertical="center" wrapText="1"/>
    </xf>
    <xf numFmtId="49" fontId="0" fillId="0" borderId="0" xfId="0" applyFont="1" applyNumberFormat="1">
      <alignment vertical="center" wrapText="1"/>
    </xf>
    <xf numFmtId="49" fontId="31" fillId="47" borderId="0" xfId="0" applyFont="1" applyFill="1" applyNumberFormat="1">
      <alignment horizontal="center" vertical="center"/>
    </xf>
    <xf numFmtId="0" fontId="0" fillId="48" borderId="0" xfId="0" applyFont="1" applyFill="1">
      <alignment horizontal="left" vertical="center"/>
    </xf>
    <xf numFmtId="0" fontId="0" fillId="49" borderId="12" xfId="0" applyFont="1" applyFill="1" applyBorder="1">
      <alignment horizontal="center" vertical="center"/>
    </xf>
    <xf numFmtId="49" fontId="0" fillId="0" borderId="0" xfId="0" applyFont="1" applyNumberFormat="1">
      <alignment vertical="center"/>
    </xf>
    <xf numFmtId="49" fontId="46" fillId="47" borderId="12" xfId="0" applyFont="1" applyFill="1" applyBorder="1" applyNumberFormat="1">
      <alignment horizontal="center" vertical="center"/>
    </xf>
    <xf numFmtId="49" fontId="46" fillId="50" borderId="12" xfId="0" applyFont="1" applyFill="1" applyBorder="1" applyNumberFormat="1">
      <alignment horizontal="center" vertical="center"/>
    </xf>
    <xf numFmtId="49" fontId="0" fillId="51" borderId="12" xfId="0" applyFont="1" applyFill="1" applyBorder="1" applyNumberFormat="1">
      <alignment horizontal="center" vertical="center"/>
    </xf>
    <xf numFmtId="49" fontId="22" fillId="0" borderId="0" xfId="0" applyFont="1" applyNumberFormat="1">
      <alignment vertical="top"/>
    </xf>
    <xf numFmtId="0" fontId="22" fillId="0" borderId="12" xfId="0" applyFont="1" applyBorder="1">
      <alignment vertical="center"/>
    </xf>
    <xf numFmtId="0" fontId="0" fillId="0" borderId="12" xfId="0" applyFont="1" applyBorder="1">
      <alignment vertical="center"/>
    </xf>
    <xf numFmtId="0" fontId="0" fillId="0" borderId="12" xfId="0" applyFont="1" applyBorder="1">
      <alignment vertical="center"/>
    </xf>
    <xf numFmtId="0" fontId="0" fillId="0" borderId="14" xfId="0" applyFont="1" applyBorder="1">
      <alignment vertical="center"/>
    </xf>
    <xf numFmtId="0" fontId="0" fillId="0" borderId="14" xfId="0" applyFont="1" applyBorder="1">
      <alignment vertical="center"/>
    </xf>
    <xf numFmtId="49" fontId="22" fillId="0" borderId="44" xfId="0" applyFont="1" applyBorder="1" applyNumberFormat="1">
      <alignment vertical="center"/>
    </xf>
    <xf numFmtId="49" fontId="22" fillId="0" borderId="45" xfId="0" applyFont="1" applyBorder="1" applyNumberFormat="1">
      <alignment vertical="top"/>
    </xf>
    <xf numFmtId="0" fontId="0" fillId="0" borderId="13" xfId="0" applyFont="1" applyBorder="1">
      <alignment vertical="center"/>
    </xf>
    <xf numFmtId="0" fontId="0" fillId="0" borderId="12" xfId="0" applyFont="1" applyBorder="1">
      <alignment horizontal="right" vertical="top"/>
    </xf>
    <xf numFmtId="0" fontId="0" fillId="0" borderId="12" xfId="0" applyFont="1" applyBorder="1">
      <alignment vertical="top"/>
    </xf>
    <xf numFmtId="0" fontId="22" fillId="0" borderId="13" xfId="0" applyFont="1" applyBorder="1">
      <alignment vertical="center"/>
    </xf>
    <xf numFmtId="49" fontId="22" fillId="0" borderId="12" xfId="0" applyFont="1" applyBorder="1" applyNumberFormat="1">
      <alignment vertical="center"/>
    </xf>
    <xf numFmtId="0" fontId="0" fillId="0" borderId="0" xfId="0" applyFont="1">
      <alignment vertical="top"/>
    </xf>
    <xf numFmtId="0" fontId="22" fillId="0" borderId="12" xfId="0" applyFont="1" applyBorder="1">
      <alignment vertical="top"/>
    </xf>
    <xf numFmtId="49" fontId="22" fillId="0" borderId="12" xfId="0" applyFont="1" applyBorder="1" applyNumberFormat="1">
      <alignment vertical="top"/>
    </xf>
    <xf numFmtId="49" fontId="0" fillId="0" borderId="0" xfId="0" applyFont="1" applyNumberFormat="1">
      <alignment vertical="top"/>
    </xf>
    <xf numFmtId="0" fontId="22" fillId="0" borderId="0" xfId="0" applyFont="1">
      <alignment vertical="center"/>
    </xf>
    <xf numFmtId="49" fontId="22" fillId="0" borderId="14" xfId="0" applyFont="1" applyBorder="1" applyNumberFormat="1">
      <alignment vertical="top"/>
    </xf>
    <xf numFmtId="0" fontId="0" fillId="0" borderId="0" xfId="0" applyFont="1">
      <alignment vertical="center"/>
    </xf>
    <xf numFmtId="0" fontId="22" fillId="0" borderId="0" xfId="0" applyFont="1">
      <alignment vertical="top"/>
    </xf>
    <xf numFmtId="49" fontId="22" fillId="0" borderId="12" xfId="0" applyFont="1" applyBorder="1" applyNumberFormat="1">
      <alignment vertical="top"/>
    </xf>
    <xf numFmtId="49" fontId="0" fillId="0" borderId="14" xfId="0" applyFont="1" applyBorder="1" applyNumberFormat="1">
      <alignment vertical="top"/>
    </xf>
    <xf numFmtId="0" fontId="0" fillId="0" borderId="17" xfId="0" applyFont="1" applyBorder="1">
      <alignment vertical="top"/>
    </xf>
    <xf numFmtId="0" fontId="22" fillId="0" borderId="17" xfId="0" applyFont="1" applyBorder="1">
      <alignment vertical="center"/>
    </xf>
    <xf numFmtId="49" fontId="22" fillId="0" borderId="31" xfId="0" applyFont="1" applyBorder="1" applyNumberFormat="1">
      <alignment horizontal="center" vertical="center"/>
    </xf>
    <xf numFmtId="49" fontId="22" fillId="0" borderId="0" xfId="0" applyFont="1" applyNumberFormat="1">
      <alignment vertical="top"/>
    </xf>
    <xf numFmtId="49" fontId="22" fillId="0" borderId="0" xfId="0" applyFont="1" applyNumberFormat="1">
      <alignment vertical="top"/>
    </xf>
    <xf numFmtId="49" fontId="0" fillId="36" borderId="31" xfId="0" applyFont="1" applyFill="1" applyBorder="1" applyNumberFormat="1">
      <alignment horizontal="left" vertical="center"/>
      <protection locked="0"/>
    </xf>
    <xf numFmtId="49" fontId="0" fillId="0" borderId="12" xfId="0" applyFont="1" applyBorder="1" applyNumberFormat="1">
      <alignment horizontal="center" vertical="center"/>
    </xf>
    <xf numFmtId="49" fontId="0" fillId="0" borderId="31" xfId="0" applyFont="1" applyBorder="1" applyNumberFormat="1">
      <alignment horizontal="right" vertical="center"/>
    </xf>
    <xf numFmtId="0" fontId="0" fillId="34" borderId="31" xfId="0" applyFont="1" applyFill="1" applyBorder="1">
      <alignment horizontal="center" vertical="center"/>
    </xf>
    <xf numFmtId="49" fontId="0" fillId="0" borderId="31" xfId="0" applyFont="1" applyBorder="1" applyNumberFormat="1">
      <alignment horizontal="center" vertical="center"/>
    </xf>
    <xf numFmtId="49" fontId="0" fillId="0" borderId="0" xfId="0" applyFont="1" applyNumberFormat="1">
      <alignment horizontal="left" vertical="center"/>
    </xf>
    <xf numFmtId="0" fontId="0" fillId="0" borderId="0" xfId="0" applyFont="1">
      <alignment horizontal="center" vertical="center"/>
    </xf>
    <xf numFmtId="0" fontId="102" fillId="0" borderId="46" xfId="0" applyFont="1" applyBorder="1">
      <alignment horizontal="center" vertical="center"/>
    </xf>
    <xf numFmtId="0" fontId="0" fillId="0" borderId="46" xfId="0" applyFont="1" applyBorder="1">
      <alignment horizontal="center" vertical="center"/>
    </xf>
    <xf numFmtId="49" fontId="31" fillId="47" borderId="12" xfId="0" applyFont="1" applyFill="1" applyBorder="1" applyNumberFormat="1">
      <alignment horizontal="right" vertical="center"/>
    </xf>
    <xf numFmtId="49" fontId="22" fillId="36" borderId="37" xfId="0" applyFont="1" applyFill="1" applyBorder="1" applyNumberFormat="1">
      <alignment vertical="top"/>
      <protection locked="0"/>
    </xf>
    <xf numFmtId="0" fontId="22" fillId="0" borderId="12" xfId="0" applyFont="1" applyBorder="1">
      <alignment vertical="top"/>
    </xf>
    <xf numFmtId="49" fontId="22" fillId="41" borderId="23" xfId="0" applyFont="1" applyFill="1" applyBorder="1" applyNumberFormat="1">
      <alignment vertical="top"/>
    </xf>
    <xf numFmtId="49" fontId="22" fillId="41" borderId="12" xfId="0" applyFont="1" applyFill="1" applyBorder="1" applyNumberFormat="1">
      <alignment vertical="top"/>
    </xf>
    <xf numFmtId="0" fontId="0" fillId="0" borderId="32" xfId="0" applyFont="1" applyBorder="1">
      <alignment horizontal="center" vertical="center"/>
    </xf>
    <xf numFmtId="49" fontId="0" fillId="0" borderId="0" xfId="0" applyFont="1" applyNumberFormat="1">
      <alignment vertical="center"/>
    </xf>
    <xf numFmtId="49" fontId="31" fillId="47" borderId="14" xfId="0" applyFont="1" applyFill="1" applyBorder="1" applyNumberFormat="1">
      <alignment horizontal="right" vertical="center"/>
    </xf>
    <xf numFmtId="49" fontId="22" fillId="0" borderId="0" xfId="0" applyFont="1" applyNumberFormat="1">
      <alignment vertical="center"/>
    </xf>
    <xf numFmtId="0" fontId="0" fillId="48" borderId="0" xfId="0" applyFont="1" applyFill="1">
      <alignment horizontal="right" vertical="center"/>
    </xf>
    <xf numFmtId="0" fontId="103" fillId="0" borderId="47" xfId="0" applyFont="1" applyBorder="1">
      <alignment horizontal="left" vertical="center" indent="1"/>
    </xf>
    <xf numFmtId="0" fontId="103" fillId="0" borderId="48" xfId="0" applyFont="1" applyBorder="1">
      <alignment horizontal="left" vertical="center" indent="1"/>
    </xf>
    <xf numFmtId="0" fontId="103" fillId="0" borderId="49" xfId="0" applyFont="1" applyBorder="1">
      <alignment horizontal="left" vertical="center" indent="1"/>
    </xf>
    <xf numFmtId="0" fontId="22" fillId="35" borderId="0" xfId="0" applyFont="1" applyFill="1">
      <alignment vertical="center" wrapText="1"/>
    </xf>
    <xf numFmtId="0" fontId="22" fillId="0" borderId="0" xfId="0" applyFont="1">
      <alignment vertical="center" wrapText="1"/>
    </xf>
    <xf numFmtId="0" fontId="31" fillId="0" borderId="0" xfId="0" applyFont="1">
      <alignment vertical="center" wrapText="1"/>
    </xf>
    <xf numFmtId="49" fontId="22" fillId="0" borderId="0" xfId="0" applyFont="1" applyNumberFormat="1">
      <alignment vertical="top"/>
    </xf>
    <xf numFmtId="0" fontId="46" fillId="0" borderId="0" xfId="0" applyFont="1">
      <alignment vertical="center" wrapText="1"/>
    </xf>
    <xf numFmtId="49" fontId="98" fillId="0" borderId="0" xfId="0" applyFont="1" applyNumberFormat="1">
      <alignment horizontal="center" vertical="center" wrapText="1"/>
    </xf>
    <xf numFmtId="0" fontId="22" fillId="35" borderId="0" xfId="0" applyFont="1" applyFill="1">
      <alignment vertical="center" wrapText="1"/>
    </xf>
    <xf numFmtId="0" fontId="22" fillId="0" borderId="0" xfId="0" applyFont="1">
      <alignment vertical="center" wrapText="1"/>
    </xf>
    <xf numFmtId="0" fontId="49" fillId="35" borderId="39" xfId="0" applyFont="1" applyFill="1" applyBorder="1">
      <alignment horizontal="center" wrapText="1"/>
    </xf>
    <xf numFmtId="49" fontId="73" fillId="0" borderId="39" xfId="0" applyFont="1" applyBorder="1" applyNumberFormat="1">
      <alignment vertical="top"/>
    </xf>
    <xf numFmtId="0" fontId="0" fillId="0" borderId="12" xfId="0" applyFont="1" applyBorder="1">
      <alignment horizontal="center" vertical="center" wrapText="1"/>
    </xf>
    <xf numFmtId="0" fontId="22" fillId="0" borderId="0" xfId="0" applyFont="1">
      <alignment horizontal="left" vertical="center" wrapText="1" indent="3"/>
    </xf>
    <xf numFmtId="0" fontId="22" fillId="0" borderId="0" xfId="0" applyFont="1">
      <alignment horizontal="left" vertical="center" wrapText="1" indent="3"/>
    </xf>
    <xf numFmtId="0" fontId="22" fillId="0" borderId="0" xfId="0" applyFont="1">
      <alignment vertical="center" wrapText="1"/>
    </xf>
    <xf numFmtId="0" fontId="31" fillId="0" borderId="0" xfId="0" applyFont="1">
      <alignment vertical="center" wrapText="1"/>
    </xf>
    <xf numFmtId="49" fontId="22" fillId="0" borderId="0" xfId="0" applyFont="1" applyNumberFormat="1">
      <alignment vertical="top"/>
    </xf>
    <xf numFmtId="0" fontId="46" fillId="0" borderId="0" xfId="0" applyFont="1">
      <alignment vertical="center" wrapText="1"/>
    </xf>
    <xf numFmtId="0" fontId="22" fillId="0" borderId="12" xfId="0" applyFont="1" applyBorder="1">
      <alignment horizontal="center" vertical="center" wrapText="1"/>
    </xf>
    <xf numFmtId="0" fontId="22" fillId="0" borderId="0" xfId="0" applyFont="1">
      <alignment vertical="center" wrapText="1"/>
    </xf>
    <xf numFmtId="0" fontId="22" fillId="35" borderId="39" xfId="0" applyFont="1" applyFill="1" applyBorder="1">
      <alignment vertical="center" wrapText="1"/>
    </xf>
    <xf numFmtId="0" fontId="22" fillId="0" borderId="0" xfId="0" applyFont="1">
      <alignment vertical="center" wrapText="1"/>
    </xf>
    <xf numFmtId="0" fontId="31" fillId="0" borderId="0" xfId="0" applyFont="1">
      <alignment vertical="center" wrapText="1"/>
    </xf>
    <xf numFmtId="49" fontId="22" fillId="0" borderId="0" xfId="0" applyFont="1" applyNumberFormat="1">
      <alignment vertical="top"/>
    </xf>
    <xf numFmtId="0" fontId="46" fillId="0" borderId="0" xfId="0" applyFont="1">
      <alignment vertical="center" wrapText="1"/>
    </xf>
    <xf numFmtId="0" fontId="22" fillId="0" borderId="0" xfId="0" applyFont="1">
      <alignment vertical="center" wrapText="1"/>
    </xf>
    <xf numFmtId="0" fontId="22" fillId="0" borderId="0" xfId="0" applyFont="1">
      <alignment vertical="center" wrapText="1"/>
    </xf>
    <xf numFmtId="0" fontId="22" fillId="35" borderId="39" xfId="0" applyFont="1" applyFill="1" applyBorder="1">
      <alignment vertical="center" wrapText="1"/>
    </xf>
    <xf numFmtId="0" fontId="22" fillId="39" borderId="12" xfId="0" applyFont="1" applyFill="1" applyBorder="1">
      <alignment horizontal="left" vertical="center" wrapText="1" indent="1"/>
      <protection locked="0"/>
    </xf>
    <xf numFmtId="49" fontId="46" fillId="47" borderId="0" xfId="0" applyFont="1" applyFill="1" applyNumberFormat="1">
      <alignment horizontal="center" vertical="center" wrapText="1"/>
    </xf>
    <xf numFmtId="0" fontId="22" fillId="0" borderId="12" xfId="0" applyFont="1" applyBorder="1">
      <alignment horizontal="center" vertical="center" wrapText="1"/>
    </xf>
    <xf numFmtId="0" fontId="22" fillId="0" borderId="12" xfId="0" applyFont="1" applyBorder="1">
      <alignment horizontal="center" vertical="center" wrapText="1"/>
    </xf>
    <xf numFmtId="0" fontId="22" fillId="0" borderId="0" xfId="0" applyFont="1">
      <alignment vertical="center" wrapText="1"/>
    </xf>
    <xf numFmtId="0" fontId="31" fillId="0" borderId="0" xfId="0" applyFont="1">
      <alignment vertical="center" wrapText="1"/>
    </xf>
    <xf numFmtId="49" fontId="22" fillId="0" borderId="0" xfId="0" applyFont="1" applyNumberFormat="1">
      <alignment vertical="top"/>
    </xf>
    <xf numFmtId="49" fontId="104" fillId="0" borderId="16" xfId="0" applyFont="1" applyBorder="1" applyNumberFormat="1">
      <alignment vertical="top"/>
    </xf>
    <xf numFmtId="0" fontId="0" fillId="0" borderId="0" xfId="0" applyFont="1">
      <alignment vertical="top"/>
    </xf>
    <xf numFmtId="0" fontId="46" fillId="0" borderId="0" xfId="0" applyFont="1">
      <alignment vertical="center" wrapText="1"/>
    </xf>
    <xf numFmtId="49" fontId="53" fillId="39" borderId="12" xfId="0" applyFont="1" applyFill="1" applyBorder="1" applyNumberFormat="1">
      <alignment horizontal="left" vertical="center" wrapText="1"/>
      <protection locked="0"/>
    </xf>
    <xf numFmtId="0" fontId="22" fillId="0" borderId="14" xfId="0" applyFont="1" applyBorder="1">
      <alignment horizontal="left" vertical="center"/>
    </xf>
    <xf numFmtId="0" fontId="0" fillId="0" borderId="14" xfId="0" applyFont="1" applyBorder="1">
      <alignment horizontal="left" vertical="center"/>
    </xf>
    <xf numFmtId="49" fontId="53" fillId="39" borderId="12" xfId="0" applyFont="1" applyFill="1" applyBorder="1" applyNumberFormat="1">
      <alignment horizontal="left" vertical="center" wrapText="1"/>
      <protection locked="0"/>
    </xf>
    <xf numFmtId="0" fontId="22" fillId="35" borderId="26" xfId="0" applyFont="1" applyFill="1" applyBorder="1">
      <alignment horizontal="right" vertical="center" wrapText="1" indent="1"/>
    </xf>
    <xf numFmtId="49" fontId="46" fillId="0" borderId="0" xfId="0" applyFont="1" applyNumberFormat="1">
      <alignment horizontal="center" vertical="center" wrapText="1"/>
    </xf>
    <xf numFmtId="49" fontId="47" fillId="0" borderId="0" xfId="0" applyFont="1" applyNumberFormat="1">
      <alignment horizontal="center" vertical="center" wrapText="1"/>
    </xf>
    <xf numFmtId="49" fontId="39" fillId="37" borderId="15" xfId="0" applyFont="1" applyFill="1" applyBorder="1" applyNumberFormat="1">
      <alignment horizontal="left" vertical="center" indent="1"/>
    </xf>
    <xf numFmtId="4" fontId="22" fillId="39" borderId="31" xfId="0" applyFont="1" applyFill="1" applyBorder="1" applyNumberFormat="1">
      <alignment horizontal="right" vertical="center" wrapText="1"/>
      <protection locked="0"/>
    </xf>
    <xf numFmtId="0" fontId="22" fillId="35" borderId="0" xfId="0" applyFont="1" applyFill="1">
      <alignment vertical="center" wrapText="1"/>
    </xf>
    <xf numFmtId="0" fontId="22" fillId="0" borderId="0" xfId="0" applyFont="1">
      <alignment vertical="center"/>
    </xf>
    <xf numFmtId="0" fontId="22" fillId="0" borderId="0" xfId="0" applyFont="1">
      <alignment vertical="center" wrapText="1"/>
    </xf>
    <xf numFmtId="0" fontId="22" fillId="37" borderId="50" xfId="0" applyFont="1" applyFill="1" applyBorder="1">
      <alignment vertical="center" wrapText="1"/>
    </xf>
    <xf numFmtId="0" fontId="22" fillId="37" borderId="51" xfId="0" applyFont="1" applyFill="1" applyBorder="1">
      <alignment vertical="center" wrapText="1"/>
    </xf>
    <xf numFmtId="49" fontId="105" fillId="37" borderId="14" xfId="0" applyFont="1" applyFill="1" applyBorder="1" applyNumberFormat="1">
      <alignment horizontal="left" vertical="center" indent="1"/>
    </xf>
    <xf numFmtId="49" fontId="105" fillId="37" borderId="15" xfId="0" applyFont="1" applyFill="1" applyBorder="1" applyNumberFormat="1">
      <alignment horizontal="left" vertical="center" indent="1"/>
    </xf>
    <xf numFmtId="49" fontId="94" fillId="37" borderId="43" xfId="0" applyFont="1" applyFill="1" applyBorder="1" applyNumberFormat="1">
      <alignment horizontal="center" vertical="center"/>
    </xf>
    <xf numFmtId="49" fontId="105" fillId="37" borderId="43" xfId="0" applyFont="1" applyFill="1" applyBorder="1" applyNumberFormat="1">
      <alignment horizontal="left" vertical="center" indent="1"/>
    </xf>
    <xf numFmtId="0" fontId="44" fillId="40" borderId="12" xfId="0" applyFont="1" applyFill="1" applyBorder="1">
      <alignment horizontal="left" vertical="center" wrapText="1" indent="1"/>
    </xf>
    <xf numFmtId="49" fontId="44" fillId="37" borderId="15" xfId="0" applyFont="1" applyFill="1" applyBorder="1" applyNumberFormat="1">
      <alignment vertical="top" wrapText="1"/>
    </xf>
    <xf numFmtId="49" fontId="44" fillId="37" borderId="13" xfId="0" applyFont="1" applyFill="1" applyBorder="1" applyNumberFormat="1">
      <alignment vertical="top" wrapText="1"/>
    </xf>
    <xf numFmtId="49" fontId="44" fillId="37" borderId="52" xfId="0" applyFont="1" applyFill="1" applyBorder="1" applyNumberFormat="1">
      <alignment vertical="top" wrapText="1"/>
    </xf>
    <xf numFmtId="49" fontId="105" fillId="37" borderId="52" xfId="0" applyFont="1" applyFill="1" applyBorder="1" applyNumberFormat="1">
      <alignment horizontal="left" vertical="center" indent="1"/>
    </xf>
    <xf numFmtId="0" fontId="22" fillId="35" borderId="39" xfId="0" applyFont="1" applyFill="1" applyBorder="1">
      <alignment vertical="center" wrapText="1"/>
    </xf>
    <xf numFmtId="0" fontId="0" fillId="0" borderId="49" xfId="0" applyFont="1" applyBorder="1">
      <alignment horizontal="left" vertical="center" wrapText="1"/>
    </xf>
    <xf numFmtId="0" fontId="22" fillId="0" borderId="49" xfId="0" applyFont="1" applyBorder="1">
      <alignment vertical="center" wrapText="1"/>
    </xf>
    <xf numFmtId="0" fontId="22" fillId="0" borderId="53" xfId="0" applyFont="1" applyBorder="1">
      <alignment vertical="center" wrapText="1"/>
    </xf>
    <xf numFmtId="0" fontId="22" fillId="0" borderId="54" xfId="0" applyFont="1" applyBorder="1">
      <alignment vertical="center" wrapText="1"/>
    </xf>
    <xf numFmtId="0" fontId="22" fillId="40" borderId="12" xfId="0" applyFont="1" applyFill="1" applyBorder="1">
      <alignment horizontal="left" vertical="center" wrapText="1" indent="1"/>
    </xf>
    <xf numFmtId="0" fontId="0" fillId="37" borderId="50" xfId="0" applyFont="1" applyFill="1" applyBorder="1">
      <alignment horizontal="left" vertical="center"/>
    </xf>
    <xf numFmtId="0" fontId="22" fillId="35" borderId="12" xfId="0" applyFont="1" applyFill="1" applyBorder="1">
      <alignment horizontal="center" vertical="center" wrapText="1"/>
    </xf>
    <xf numFmtId="49" fontId="35" fillId="0" borderId="12" xfId="0" applyFont="1" applyBorder="1" applyNumberFormat="1">
      <alignment horizontal="center" vertical="center"/>
    </xf>
    <xf numFmtId="49" fontId="35" fillId="41" borderId="12" xfId="0" applyFont="1" applyFill="1" applyBorder="1" applyNumberFormat="1">
      <alignment horizontal="center" vertical="center"/>
    </xf>
    <xf numFmtId="0" fontId="35" fillId="0" borderId="12" xfId="0" applyFont="1" applyBorder="1">
      <alignment horizontal="center" vertical="center"/>
    </xf>
    <xf numFmtId="49" fontId="35" fillId="0" borderId="23" xfId="0" applyFont="1" applyBorder="1" applyNumberFormat="1">
      <alignment horizontal="center" vertical="center"/>
    </xf>
    <xf numFmtId="49" fontId="22" fillId="0" borderId="0" xfId="0" applyFont="1" applyNumberFormat="1">
      <alignment vertical="center"/>
    </xf>
    <xf numFmtId="49" fontId="46" fillId="0" borderId="17" xfId="0" applyFont="1" applyBorder="1" applyNumberFormat="1">
      <alignment horizontal="center" vertical="center"/>
    </xf>
    <xf numFmtId="49" fontId="22" fillId="0" borderId="17" xfId="0" applyFont="1" applyBorder="1" applyNumberFormat="1">
      <alignment horizontal="center" vertical="center"/>
    </xf>
    <xf numFmtId="0" fontId="22" fillId="0" borderId="17" xfId="0" applyFont="1" applyBorder="1">
      <alignment horizontal="right" vertical="center"/>
    </xf>
    <xf numFmtId="0" fontId="22" fillId="0" borderId="17" xfId="0" applyFont="1" applyBorder="1">
      <alignment horizontal="center" vertical="center"/>
    </xf>
    <xf numFmtId="0" fontId="22" fillId="0" borderId="12" xfId="0" applyFont="1" applyBorder="1">
      <alignment horizontal="right" vertical="center"/>
    </xf>
    <xf numFmtId="49" fontId="22" fillId="0" borderId="0" xfId="0" applyFont="1" applyNumberFormat="1">
      <alignment vertical="center"/>
    </xf>
    <xf numFmtId="49" fontId="22" fillId="0" borderId="55" xfId="0" applyFont="1" applyBorder="1" applyNumberFormat="1">
      <alignment horizontal="center" vertical="center"/>
    </xf>
    <xf numFmtId="0" fontId="22" fillId="0" borderId="55" xfId="0" applyFont="1" applyBorder="1">
      <alignment horizontal="right" vertical="center"/>
    </xf>
    <xf numFmtId="0" fontId="22" fillId="0" borderId="55" xfId="0" applyFont="1" applyBorder="1">
      <alignment horizontal="center" vertical="center"/>
    </xf>
    <xf numFmtId="0" fontId="22" fillId="0" borderId="15" xfId="0" applyFont="1" applyBorder="1">
      <alignment horizontal="right" vertical="center"/>
    </xf>
    <xf numFmtId="0" fontId="22" fillId="0" borderId="13" xfId="0" applyFont="1" applyBorder="1">
      <alignment horizontal="right" vertical="center"/>
    </xf>
    <xf numFmtId="0" fontId="22" fillId="35" borderId="12" xfId="0" applyFont="1" applyFill="1" applyBorder="1">
      <alignment horizontal="center" vertical="center"/>
    </xf>
    <xf numFmtId="0" fontId="22" fillId="40" borderId="12" xfId="0" applyFont="1" applyFill="1" applyBorder="1">
      <alignment horizontal="left" vertical="center" wrapText="1" indent="1"/>
    </xf>
    <xf numFmtId="0" fontId="22" fillId="39" borderId="12" xfId="0" applyFont="1" applyFill="1" applyBorder="1">
      <alignment horizontal="left" vertical="center" wrapText="1" indent="1"/>
      <protection locked="0"/>
    </xf>
    <xf numFmtId="0" fontId="22" fillId="41" borderId="12" xfId="0" applyFont="1" applyFill="1" applyBorder="1">
      <alignment horizontal="right" vertical="center"/>
    </xf>
    <xf numFmtId="4" fontId="22" fillId="36" borderId="12" xfId="0" applyFont="1" applyFill="1" applyBorder="1" applyNumberFormat="1">
      <alignment horizontal="right" vertical="center"/>
      <protection locked="0"/>
    </xf>
    <xf numFmtId="49" fontId="39" fillId="37" borderId="56" xfId="0" applyFont="1" applyFill="1" applyBorder="1" applyNumberFormat="1">
      <alignment horizontal="left" vertical="center" indent="1"/>
    </xf>
    <xf numFmtId="49" fontId="39" fillId="37" borderId="51" xfId="0" applyFont="1" applyFill="1" applyBorder="1" applyNumberFormat="1">
      <alignment horizontal="left" vertical="center" indent="1"/>
    </xf>
    <xf numFmtId="49" fontId="39" fillId="52" borderId="13" xfId="0" applyFont="1" applyFill="1" applyBorder="1" applyNumberFormat="1">
      <alignment horizontal="left" vertical="center" indent="1"/>
    </xf>
    <xf numFmtId="49" fontId="22" fillId="0" borderId="0" xfId="0" applyFont="1" applyNumberFormat="1">
      <alignment vertical="top"/>
    </xf>
    <xf numFmtId="0" fontId="22" fillId="48" borderId="0" xfId="0" applyFont="1" applyFill="1">
      <alignment horizontal="left" vertical="center"/>
    </xf>
    <xf numFmtId="49" fontId="22" fillId="0" borderId="0" xfId="0" applyFont="1" applyNumberFormat="1">
      <alignment vertical="center" wrapText="1"/>
    </xf>
    <xf numFmtId="0" fontId="22" fillId="0" borderId="0" xfId="0" applyFont="1">
      <alignment horizontal="right" vertical="center" wrapText="1"/>
    </xf>
    <xf numFmtId="0" fontId="47" fillId="0" borderId="0" xfId="0" applyFont="1">
      <alignment horizontal="center" vertical="center" wrapText="1"/>
    </xf>
    <xf numFmtId="0" fontId="0" fillId="0" borderId="12" xfId="0" applyFont="1" applyBorder="1">
      <alignment horizontal="center" vertical="center" wrapText="1"/>
    </xf>
    <xf numFmtId="0" fontId="0" fillId="0" borderId="12" xfId="0" applyFont="1" applyBorder="1">
      <alignment horizontal="center" vertical="center" wrapText="1"/>
    </xf>
    <xf numFmtId="49" fontId="22" fillId="0" borderId="12" xfId="0" applyFont="1" applyBorder="1" applyNumberFormat="1">
      <alignment horizontal="left" vertical="center" wrapText="1"/>
    </xf>
    <xf numFmtId="0" fontId="22" fillId="35" borderId="12" xfId="0" applyFont="1" applyFill="1" applyBorder="1">
      <alignment horizontal="left" vertical="center" wrapText="1"/>
    </xf>
    <xf numFmtId="49" fontId="0" fillId="0" borderId="12" xfId="0" applyFont="1" applyBorder="1" applyNumberFormat="1">
      <alignment horizontal="center" vertical="center" wrapText="1"/>
    </xf>
    <xf numFmtId="49" fontId="0" fillId="0" borderId="12" xfId="0" applyFont="1" applyBorder="1" applyNumberFormat="1">
      <alignment horizontal="center" vertical="center"/>
    </xf>
    <xf numFmtId="0" fontId="22" fillId="35" borderId="19" xfId="0" applyFont="1" applyFill="1" applyBorder="1">
      <alignment vertical="center" wrapText="1"/>
    </xf>
    <xf numFmtId="49" fontId="47" fillId="0" borderId="0" xfId="0" applyFont="1" applyNumberFormat="1">
      <alignment vertical="top"/>
    </xf>
    <xf numFmtId="0" fontId="47" fillId="0" borderId="39" xfId="0" applyFont="1" applyBorder="1">
      <alignment vertical="center" wrapText="1"/>
    </xf>
    <xf numFmtId="49" fontId="0" fillId="0" borderId="12" xfId="0" applyFont="1" applyBorder="1" applyNumberFormat="1">
      <alignment horizontal="center" vertical="center"/>
    </xf>
    <xf numFmtId="49" fontId="0" fillId="0" borderId="12" xfId="0" applyFont="1" applyBorder="1" applyNumberFormat="1">
      <alignment horizontal="center" vertical="center" wrapText="1"/>
    </xf>
    <xf numFmtId="49" fontId="0" fillId="34" borderId="12" xfId="0" applyFont="1" applyFill="1" applyBorder="1" applyNumberFormat="1">
      <alignment horizontal="center" vertical="center"/>
    </xf>
    <xf numFmtId="49" fontId="22" fillId="0" borderId="22" xfId="0" applyFont="1" applyBorder="1" applyNumberFormat="1">
      <alignment vertical="top"/>
    </xf>
    <xf numFmtId="0" fontId="22" fillId="0" borderId="22" xfId="0" applyFont="1" applyBorder="1">
      <alignment vertical="center" wrapText="1"/>
    </xf>
    <xf numFmtId="4" fontId="0" fillId="36" borderId="12" xfId="0" applyFont="1" applyFill="1" applyBorder="1" applyNumberFormat="1">
      <alignment horizontal="right" vertical="center" wrapText="1"/>
      <protection locked="0"/>
    </xf>
    <xf numFmtId="4" fontId="0" fillId="34" borderId="12" xfId="0" applyFont="1" applyFill="1" applyBorder="1" applyNumberFormat="1">
      <alignment horizontal="right" vertical="center" wrapText="1"/>
    </xf>
    <xf numFmtId="49" fontId="0" fillId="0" borderId="12" xfId="0" applyFont="1" applyBorder="1" applyNumberFormat="1">
      <alignment horizontal="left" vertical="center" wrapText="1" indent="2"/>
    </xf>
    <xf numFmtId="49" fontId="0" fillId="0" borderId="12" xfId="0" applyFont="1" applyBorder="1" applyNumberFormat="1">
      <alignment horizontal="left" vertical="center" wrapText="1" indent="3"/>
    </xf>
    <xf numFmtId="49" fontId="0" fillId="0" borderId="12" xfId="0" applyFont="1" applyBorder="1" applyNumberFormat="1">
      <alignment horizontal="left" vertical="center" wrapText="1"/>
    </xf>
    <xf numFmtId="0" fontId="22" fillId="0" borderId="38" xfId="0" applyFont="1" applyBorder="1">
      <alignment vertical="center"/>
    </xf>
    <xf numFmtId="49" fontId="39" fillId="37" borderId="15" xfId="0" applyFont="1" applyFill="1" applyBorder="1" applyNumberFormat="1">
      <alignment horizontal="left" vertical="center" indent="1"/>
    </xf>
    <xf numFmtId="49" fontId="22" fillId="39" borderId="17" xfId="0" applyFont="1" applyFill="1" applyBorder="1" applyNumberFormat="1">
      <alignment horizontal="left" vertical="center" wrapText="1" indent="1"/>
      <protection locked="0"/>
    </xf>
    <xf numFmtId="0" fontId="45" fillId="0" borderId="0" xfId="0" applyFont="1">
      <alignment vertical="center" wrapText="1"/>
    </xf>
    <xf numFmtId="0" fontId="22" fillId="35" borderId="27" xfId="0" applyFont="1" applyFill="1" applyBorder="1">
      <alignment vertical="center" wrapText="1"/>
    </xf>
    <xf numFmtId="0" fontId="47" fillId="35" borderId="19" xfId="0" applyFont="1" applyFill="1" applyBorder="1">
      <alignment horizontal="center" vertical="center" wrapText="1"/>
    </xf>
    <xf numFmtId="49" fontId="72" fillId="0" borderId="0" xfId="0" applyFont="1" applyNumberFormat="1">
      <alignment vertical="center" wrapText="1"/>
    </xf>
    <xf numFmtId="0" fontId="106" fillId="35" borderId="0" xfId="0" applyFont="1" applyFill="1">
      <alignment vertical="center" wrapText="1"/>
    </xf>
    <xf numFmtId="0" fontId="22" fillId="0" borderId="0" xfId="0" applyFont="1">
      <alignment vertical="center"/>
    </xf>
    <xf numFmtId="49" fontId="47" fillId="35" borderId="0" xfId="0" applyFont="1" applyFill="1" applyNumberFormat="1">
      <alignment horizontal="center" vertical="center" wrapText="1"/>
    </xf>
    <xf numFmtId="0" fontId="22" fillId="0" borderId="0" xfId="0" applyFont="1">
      <alignment horizontal="left" vertical="center" wrapText="1"/>
    </xf>
    <xf numFmtId="0" fontId="47" fillId="0" borderId="0" xfId="0" applyFont="1">
      <alignment vertical="center"/>
    </xf>
    <xf numFmtId="0" fontId="22" fillId="0" borderId="0" xfId="0" applyFont="1">
      <alignment horizontal="left" vertical="center" wrapText="1" indent="1"/>
    </xf>
    <xf numFmtId="0" fontId="22" fillId="0" borderId="0" xfId="0" applyFont="1">
      <alignment horizontal="right" vertical="top" wrapText="1"/>
    </xf>
    <xf numFmtId="0" fontId="107" fillId="35" borderId="0" xfId="0" applyFont="1" applyFill="1">
      <alignment vertical="center" wrapText="1"/>
    </xf>
    <xf numFmtId="49" fontId="80" fillId="35" borderId="19" xfId="0" applyFont="1" applyFill="1" applyBorder="1" applyNumberFormat="1">
      <alignment horizontal="center" vertical="center" wrapText="1"/>
    </xf>
    <xf numFmtId="0" fontId="80" fillId="35" borderId="19" xfId="0" applyFont="1" applyFill="1" applyBorder="1">
      <alignment horizontal="center" vertical="center" wrapText="1"/>
    </xf>
    <xf numFmtId="177" fontId="22" fillId="36" borderId="12" xfId="0" applyFont="1" applyFill="1" applyBorder="1" applyNumberFormat="1">
      <alignment horizontal="right" vertical="center" wrapText="1"/>
      <protection locked="0"/>
    </xf>
    <xf numFmtId="0" fontId="44" fillId="0" borderId="12" xfId="0" applyFont="1" applyBorder="1">
      <alignment vertical="top" wrapText="1"/>
    </xf>
    <xf numFmtId="0" fontId="22" fillId="0" borderId="0" xfId="0" applyFont="1">
      <alignment vertical="center"/>
    </xf>
    <xf numFmtId="0" fontId="108" fillId="0" borderId="0" xfId="0" applyFont="1">
      <alignment vertical="center"/>
    </xf>
    <xf numFmtId="0" fontId="108" fillId="0" borderId="0" xfId="0" applyFont="1">
      <alignment vertical="center"/>
    </xf>
    <xf numFmtId="0" fontId="22" fillId="0" borderId="0" xfId="0" applyFont="1">
      <alignment vertical="center"/>
    </xf>
    <xf numFmtId="0" fontId="22" fillId="0" borderId="0" xfId="0" applyFont="1">
      <alignment vertical="center"/>
    </xf>
    <xf numFmtId="0" fontId="108" fillId="0" borderId="0" xfId="0" applyFont="1">
      <alignment vertical="center"/>
    </xf>
    <xf numFmtId="0" fontId="22" fillId="0" borderId="0" xfId="0" applyFont="1">
      <alignment vertical="center"/>
    </xf>
    <xf numFmtId="0" fontId="22" fillId="0" borderId="0" xfId="0" applyFont="1">
      <alignment vertical="center"/>
    </xf>
    <xf numFmtId="0" fontId="22" fillId="0" borderId="0" xfId="0" applyFont="1">
      <alignment horizontal="left" vertical="center" indent="1"/>
    </xf>
    <xf numFmtId="49" fontId="109" fillId="37" borderId="15" xfId="0" applyFont="1" applyFill="1" applyBorder="1" applyNumberFormat="1">
      <alignment horizontal="left" vertical="center" indent="3"/>
    </xf>
    <xf numFmtId="49" fontId="72" fillId="37" borderId="15" xfId="0" applyFont="1" applyFill="1" applyBorder="1" applyNumberFormat="1">
      <alignment horizontal="center" vertical="center" wrapText="1"/>
    </xf>
    <xf numFmtId="49" fontId="67" fillId="37" borderId="15" xfId="0" applyFont="1" applyFill="1" applyBorder="1" applyNumberFormat="1">
      <alignment horizontal="center" vertical="center" wrapText="1"/>
    </xf>
    <xf numFmtId="49" fontId="67" fillId="37" borderId="13" xfId="0" applyFont="1" applyFill="1" applyBorder="1" applyNumberFormat="1">
      <alignment horizontal="center" vertical="center" wrapText="1"/>
    </xf>
    <xf numFmtId="49" fontId="109" fillId="37" borderId="15" xfId="0" applyFont="1" applyFill="1" applyBorder="1" applyNumberFormat="1">
      <alignment horizontal="left" vertical="center" indent="2"/>
    </xf>
    <xf numFmtId="49" fontId="109" fillId="37" borderId="15" xfId="0" applyFont="1" applyFill="1" applyBorder="1" applyNumberFormat="1">
      <alignment horizontal="left" vertical="center" indent="1"/>
    </xf>
    <xf numFmtId="49" fontId="109" fillId="37" borderId="15" xfId="0" applyFont="1" applyFill="1" applyBorder="1" applyNumberFormat="1">
      <alignment horizontal="left" vertical="center"/>
    </xf>
    <xf numFmtId="0" fontId="22" fillId="35" borderId="0" xfId="0" applyFont="1" applyFill="1">
      <alignment horizontal="left" vertical="center" wrapText="1"/>
    </xf>
    <xf numFmtId="0" fontId="0" fillId="0" borderId="0" xfId="0" applyFont="1">
      <alignment horizontal="left" vertical="center"/>
    </xf>
    <xf numFmtId="49" fontId="80" fillId="35" borderId="19" xfId="0" applyFont="1" applyFill="1" applyBorder="1" applyNumberFormat="1">
      <alignment horizontal="left" vertical="center" wrapText="1"/>
    </xf>
    <xf numFmtId="49" fontId="73" fillId="37" borderId="14" xfId="0" applyFont="1" applyFill="1" applyBorder="1" applyNumberFormat="1">
      <alignment horizontal="left" vertical="center"/>
    </xf>
    <xf numFmtId="49" fontId="101" fillId="37" borderId="14" xfId="0" applyFont="1" applyFill="1" applyBorder="1" applyNumberFormat="1">
      <alignment horizontal="left" vertical="center"/>
    </xf>
    <xf numFmtId="49" fontId="67" fillId="37" borderId="14" xfId="0" applyFont="1" applyFill="1" applyBorder="1" applyNumberFormat="1">
      <alignment horizontal="left" vertical="top"/>
    </xf>
    <xf numFmtId="0" fontId="0" fillId="48" borderId="0" xfId="0" applyFont="1" applyFill="1">
      <alignment horizontal="right" vertical="center"/>
    </xf>
    <xf numFmtId="0" fontId="47" fillId="0" borderId="12" xfId="0" applyFont="1" applyBorder="1">
      <alignment horizontal="center" vertical="center"/>
    </xf>
    <xf numFmtId="0" fontId="0" fillId="0" borderId="0" xfId="0" applyFont="1">
      <alignment vertical="center"/>
    </xf>
    <xf numFmtId="0" fontId="22" fillId="0" borderId="12" xfId="0" applyFont="1" applyBorder="1">
      <alignment horizontal="center" vertical="center" wrapText="1"/>
    </xf>
    <xf numFmtId="0" fontId="0" fillId="0" borderId="0" xfId="0" applyFont="1">
      <alignment horizontal="left" vertical="top" wrapText="1"/>
    </xf>
    <xf numFmtId="49" fontId="22" fillId="0" borderId="0" xfId="0" applyFont="1" applyNumberFormat="1">
      <alignment vertical="center" wrapText="1"/>
    </xf>
    <xf numFmtId="0" fontId="22" fillId="0" borderId="0" xfId="0" applyFont="1">
      <alignment horizontal="right" vertical="center" wrapText="1"/>
    </xf>
    <xf numFmtId="0" fontId="22" fillId="0" borderId="0" xfId="0" applyFont="1">
      <alignment horizontal="left" vertical="top" wrapText="1"/>
    </xf>
    <xf numFmtId="0" fontId="80" fillId="35" borderId="19" xfId="0" applyFont="1" applyFill="1" applyBorder="1">
      <alignment horizontal="center" vertical="center" wrapText="1"/>
    </xf>
    <xf numFmtId="0" fontId="22" fillId="0" borderId="0" xfId="0" applyFont="1">
      <alignment horizontal="center" vertical="center" wrapText="1"/>
    </xf>
    <xf numFmtId="0" fontId="47" fillId="0" borderId="0" xfId="0" applyFont="1">
      <alignment horizontal="center" vertical="center" wrapText="1"/>
    </xf>
    <xf numFmtId="0" fontId="0" fillId="0" borderId="12" xfId="0" applyFont="1" applyBorder="1">
      <alignment horizontal="center" vertical="center" wrapText="1"/>
    </xf>
    <xf numFmtId="0" fontId="22" fillId="35" borderId="12" xfId="0" applyFont="1" applyFill="1" applyBorder="1">
      <alignment horizontal="left" vertical="center" wrapText="1"/>
    </xf>
    <xf numFmtId="49" fontId="22" fillId="0" borderId="12" xfId="0" applyFont="1" applyBorder="1" applyNumberFormat="1">
      <alignment horizontal="left" vertical="center" wrapText="1"/>
    </xf>
    <xf numFmtId="0" fontId="54" fillId="48" borderId="0" xfId="0" applyFont="1" applyFill="1">
      <alignment horizontal="left" vertical="center"/>
    </xf>
    <xf numFmtId="49" fontId="22" fillId="0" borderId="20" xfId="0" applyFont="1" applyBorder="1" applyNumberFormat="1">
      <alignment horizontal="left" vertical="center" wrapText="1"/>
    </xf>
    <xf numFmtId="0" fontId="39" fillId="0" borderId="0" xfId="0" applyFont="1">
      <alignment horizontal="left" vertical="center"/>
    </xf>
    <xf numFmtId="0" fontId="39" fillId="0" borderId="24" xfId="0" applyFont="1" applyBorder="1">
      <alignment horizontal="left" vertical="center"/>
    </xf>
    <xf numFmtId="0" fontId="39" fillId="0" borderId="30" xfId="0" applyFont="1" applyBorder="1">
      <alignment horizontal="left" vertical="center"/>
    </xf>
    <xf numFmtId="0" fontId="39" fillId="0" borderId="27" xfId="0" applyFont="1" applyBorder="1">
      <alignment horizontal="left" vertical="center"/>
    </xf>
    <xf numFmtId="0" fontId="0" fillId="0" borderId="27" xfId="0" applyFont="1" applyBorder="1">
      <alignment vertical="center"/>
    </xf>
    <xf numFmtId="0" fontId="39" fillId="0" borderId="29" xfId="0" applyFont="1" applyBorder="1">
      <alignment horizontal="left" vertical="center"/>
    </xf>
    <xf numFmtId="49" fontId="22" fillId="0" borderId="0" xfId="0" applyFont="1" applyNumberFormat="1">
      <alignment vertical="center" wrapText="1"/>
    </xf>
    <xf numFmtId="0" fontId="22" fillId="0" borderId="0" xfId="0" applyFont="1">
      <alignment horizontal="center" vertical="center" wrapText="1"/>
    </xf>
    <xf numFmtId="0" fontId="47" fillId="0" borderId="0" xfId="0" applyFont="1">
      <alignment horizontal="center" vertical="center" wrapText="1"/>
    </xf>
    <xf numFmtId="49" fontId="22" fillId="0" borderId="12" xfId="0" applyFont="1" applyBorder="1" applyNumberFormat="1">
      <alignment horizontal="left" vertical="center" wrapText="1"/>
    </xf>
    <xf numFmtId="0" fontId="44" fillId="0" borderId="17" xfId="0" applyFont="1" applyBorder="1">
      <alignment vertical="top" wrapText="1"/>
    </xf>
    <xf numFmtId="0" fontId="0" fillId="0" borderId="0" xfId="0" applyFont="1">
      <alignment vertical="center"/>
    </xf>
    <xf numFmtId="0" fontId="22" fillId="35" borderId="12" xfId="0" applyFont="1" applyFill="1" applyBorder="1">
      <alignment horizontal="left" vertical="center" wrapText="1"/>
    </xf>
    <xf numFmtId="0" fontId="22" fillId="0" borderId="0" xfId="0" applyFont="1">
      <alignment horizontal="center" vertical="center"/>
    </xf>
    <xf numFmtId="49" fontId="22" fillId="0" borderId="0" xfId="0" applyFont="1" applyNumberFormat="1">
      <alignment vertical="center" wrapText="1"/>
    </xf>
    <xf numFmtId="0" fontId="80" fillId="35" borderId="19" xfId="0" applyFont="1" applyFill="1" applyBorder="1">
      <alignment horizontal="center" vertical="center" wrapText="1"/>
    </xf>
    <xf numFmtId="0" fontId="0" fillId="0" borderId="12" xfId="0" applyFont="1" applyBorder="1">
      <alignment horizontal="center" vertical="center" wrapText="1"/>
    </xf>
    <xf numFmtId="0" fontId="47" fillId="0" borderId="0" xfId="0" applyFont="1">
      <alignment horizontal="left" vertical="center" indent="1"/>
    </xf>
    <xf numFmtId="0" fontId="47" fillId="0" borderId="0" xfId="0" applyFont="1">
      <alignment horizontal="left" vertical="center" wrapText="1"/>
    </xf>
    <xf numFmtId="49" fontId="47" fillId="0" borderId="0" xfId="0" applyFont="1" applyNumberFormat="1">
      <alignment vertical="top"/>
    </xf>
    <xf numFmtId="49" fontId="107" fillId="0" borderId="0" xfId="0" applyFont="1" applyNumberFormat="1">
      <alignment vertical="top"/>
    </xf>
    <xf numFmtId="49" fontId="97" fillId="0" borderId="19" xfId="0" applyFont="1" applyBorder="1" applyNumberFormat="1">
      <alignment horizontal="left" vertical="center"/>
    </xf>
    <xf numFmtId="49" fontId="47" fillId="0" borderId="19" xfId="0" applyFont="1" applyBorder="1" applyNumberFormat="1">
      <alignment horizontal="left" vertical="center" indent="3"/>
    </xf>
    <xf numFmtId="49" fontId="47" fillId="0" borderId="19" xfId="0" applyFont="1" applyBorder="1" applyNumberFormat="1">
      <alignment horizontal="center" vertical="center" wrapText="1"/>
    </xf>
    <xf numFmtId="49" fontId="47" fillId="0" borderId="0" xfId="0" applyFont="1" applyNumberFormat="1">
      <alignment horizontal="left" vertical="center"/>
    </xf>
    <xf numFmtId="49" fontId="97" fillId="0" borderId="0" xfId="0" applyFont="1" applyNumberFormat="1">
      <alignment horizontal="left" vertical="center"/>
    </xf>
    <xf numFmtId="49" fontId="47" fillId="0" borderId="0" xfId="0" applyFont="1" applyNumberFormat="1">
      <alignment horizontal="left" vertical="center" indent="2"/>
    </xf>
    <xf numFmtId="49" fontId="47" fillId="0" borderId="0" xfId="0" applyFont="1" applyNumberFormat="1">
      <alignment horizontal="center" vertical="center" wrapText="1"/>
    </xf>
    <xf numFmtId="49" fontId="47" fillId="0" borderId="0" xfId="0" applyFont="1" applyNumberFormat="1">
      <alignment horizontal="left" vertical="center" indent="1"/>
    </xf>
    <xf numFmtId="0" fontId="0" fillId="0" borderId="0" xfId="0" applyFont="1">
      <alignment vertical="center"/>
    </xf>
    <xf numFmtId="0" fontId="22" fillId="0" borderId="0" xfId="0" applyFont="1">
      <alignment horizontal="center" vertical="center" wrapText="1"/>
    </xf>
    <xf numFmtId="49" fontId="22" fillId="0" borderId="0" xfId="0" applyFont="1" applyNumberFormat="1">
      <alignment vertical="center" wrapText="1"/>
    </xf>
    <xf numFmtId="0" fontId="46" fillId="0" borderId="0" xfId="0" applyFont="1">
      <alignment horizontal="center" vertical="center" wrapText="1"/>
    </xf>
    <xf numFmtId="0" fontId="22" fillId="35" borderId="12" xfId="0" applyFont="1" applyFill="1" applyBorder="1">
      <alignment horizontal="center" vertical="center" wrapText="1"/>
    </xf>
    <xf numFmtId="0" fontId="47" fillId="0" borderId="0" xfId="0" applyFont="1">
      <alignment horizontal="center" vertical="center" wrapText="1"/>
    </xf>
    <xf numFmtId="0" fontId="22" fillId="0" borderId="0" xfId="0" applyFont="1">
      <alignment horizontal="center" vertical="center" wrapText="1"/>
    </xf>
    <xf numFmtId="0" fontId="22" fillId="0" borderId="0" xfId="0" applyFont="1">
      <alignment horizontal="left" vertical="top" wrapText="1"/>
    </xf>
    <xf numFmtId="0" fontId="0" fillId="0" borderId="13" xfId="0" applyFont="1" applyBorder="1">
      <alignment horizontal="center" vertical="center" wrapText="1"/>
    </xf>
    <xf numFmtId="0" fontId="80" fillId="35" borderId="19" xfId="0" applyFont="1" applyFill="1" applyBorder="1">
      <alignment horizontal="center" vertical="center" wrapText="1"/>
    </xf>
    <xf numFmtId="0" fontId="22" fillId="35" borderId="12" xfId="0" applyFont="1" applyFill="1" applyBorder="1">
      <alignment horizontal="left" vertical="center" wrapText="1"/>
    </xf>
    <xf numFmtId="49" fontId="22" fillId="35" borderId="12" xfId="0" applyFont="1" applyFill="1" applyBorder="1" applyNumberFormat="1">
      <alignment horizontal="center" vertical="center" wrapText="1"/>
    </xf>
    <xf numFmtId="0" fontId="0" fillId="0" borderId="12" xfId="0" applyFont="1" applyBorder="1">
      <alignment horizontal="center" vertical="center" wrapText="1"/>
    </xf>
    <xf numFmtId="0" fontId="47" fillId="0" borderId="0" xfId="0" applyFont="1">
      <alignment horizontal="center" vertical="center"/>
    </xf>
    <xf numFmtId="0" fontId="22" fillId="0" borderId="0" xfId="0" applyFont="1">
      <alignment horizontal="right" vertical="center" wrapText="1"/>
    </xf>
    <xf numFmtId="0" fontId="80" fillId="35" borderId="0" xfId="0" applyFont="1" applyFill="1">
      <alignment horizontal="center" vertical="center" wrapText="1"/>
    </xf>
    <xf numFmtId="49" fontId="22" fillId="0" borderId="12" xfId="0" applyFont="1" applyBorder="1" applyNumberFormat="1">
      <alignment horizontal="left" vertical="center" wrapText="1"/>
    </xf>
    <xf numFmtId="0" fontId="47" fillId="0" borderId="0" xfId="0" applyFont="1">
      <alignment horizontal="left" vertical="center" indent="1"/>
    </xf>
    <xf numFmtId="49" fontId="107" fillId="0" borderId="0" xfId="0" applyFont="1" applyNumberFormat="1">
      <alignment vertical="top"/>
    </xf>
    <xf numFmtId="49" fontId="22" fillId="0" borderId="12" xfId="0" applyFont="1" applyBorder="1" applyNumberFormat="1">
      <alignment vertical="center" wrapText="1"/>
    </xf>
    <xf numFmtId="0" fontId="47" fillId="0" borderId="0" xfId="0" applyFont="1">
      <alignment horizontal="center" vertical="center"/>
    </xf>
    <xf numFmtId="0" fontId="22" fillId="40" borderId="12" xfId="0" applyFont="1" applyFill="1" applyBorder="1">
      <alignment horizontal="left" vertical="center" wrapText="1" indent="6"/>
    </xf>
    <xf numFmtId="4" fontId="22" fillId="0" borderId="17" xfId="0" applyFont="1" applyBorder="1" applyNumberFormat="1">
      <alignment horizontal="right" vertical="center" wrapText="1"/>
    </xf>
    <xf numFmtId="4" fontId="22" fillId="0" borderId="23" xfId="0" applyFont="1" applyBorder="1" applyNumberFormat="1">
      <alignment horizontal="right" vertical="center" wrapText="1"/>
    </xf>
    <xf numFmtId="0" fontId="0" fillId="0" borderId="0" xfId="0" applyFont="1">
      <alignment vertical="center"/>
    </xf>
    <xf numFmtId="49" fontId="22" fillId="0" borderId="0" xfId="0" applyFont="1" applyNumberFormat="1">
      <alignment vertical="center" wrapText="1"/>
    </xf>
    <xf numFmtId="0" fontId="22" fillId="0" borderId="17" xfId="0" applyFont="1" applyBorder="1">
      <alignment horizontal="center" vertical="center" wrapText="1"/>
    </xf>
    <xf numFmtId="0" fontId="80" fillId="35" borderId="19" xfId="0" applyFont="1" applyFill="1" applyBorder="1">
      <alignment horizontal="center" vertical="center" wrapText="1"/>
    </xf>
    <xf numFmtId="0" fontId="47" fillId="0" borderId="0" xfId="0" applyFont="1">
      <alignment horizontal="center" vertical="center" wrapText="1"/>
    </xf>
    <xf numFmtId="0" fontId="22" fillId="0" borderId="0" xfId="0" applyFont="1">
      <alignment horizontal="right" vertical="center" wrapText="1"/>
    </xf>
    <xf numFmtId="0" fontId="22" fillId="0" borderId="0" xfId="0" applyFont="1">
      <alignment horizontal="center" vertical="center" wrapText="1"/>
    </xf>
    <xf numFmtId="0" fontId="0" fillId="0" borderId="12" xfId="0" applyFont="1" applyBorder="1">
      <alignment horizontal="center" vertical="center" wrapText="1"/>
    </xf>
    <xf numFmtId="0" fontId="22" fillId="35" borderId="12" xfId="0" applyFont="1" applyFill="1" applyBorder="1">
      <alignment horizontal="left" vertical="center" wrapText="1"/>
    </xf>
    <xf numFmtId="49" fontId="22" fillId="0" borderId="12" xfId="0" applyFont="1" applyBorder="1" applyNumberFormat="1">
      <alignment horizontal="left" vertical="center" wrapText="1"/>
    </xf>
    <xf numFmtId="4" fontId="46" fillId="0" borderId="12" xfId="0" applyFont="1" applyBorder="1" applyNumberFormat="1">
      <alignment horizontal="right" vertical="center" wrapText="1"/>
    </xf>
    <xf numFmtId="177" fontId="46" fillId="0" borderId="12" xfId="0" applyFont="1" applyBorder="1" applyNumberFormat="1">
      <alignment horizontal="right" vertical="center" wrapText="1"/>
    </xf>
    <xf numFmtId="49" fontId="46" fillId="0" borderId="0" xfId="0" applyFont="1" applyNumberFormat="1">
      <alignment vertical="center" wrapText="1"/>
    </xf>
    <xf numFmtId="0" fontId="46" fillId="0" borderId="0" xfId="0" applyFont="1">
      <alignment horizontal="left" vertical="center" indent="1"/>
    </xf>
    <xf numFmtId="0" fontId="46" fillId="0" borderId="0" xfId="0" applyFont="1">
      <alignment horizontal="center" vertical="center"/>
    </xf>
    <xf numFmtId="0" fontId="46" fillId="0" borderId="0" xfId="0" applyFont="1">
      <alignment horizontal="left" vertical="center" wrapText="1"/>
    </xf>
    <xf numFmtId="0" fontId="46" fillId="0" borderId="0" xfId="0" applyFont="1">
      <alignment vertical="center" wrapText="1"/>
    </xf>
    <xf numFmtId="49" fontId="46" fillId="0" borderId="12" xfId="0" applyFont="1" applyBorder="1" applyNumberFormat="1">
      <alignment vertical="center" wrapText="1"/>
    </xf>
    <xf numFmtId="0" fontId="46" fillId="0" borderId="0" xfId="0" applyFont="1">
      <alignment vertical="center"/>
    </xf>
    <xf numFmtId="0" fontId="46" fillId="0" borderId="0" xfId="0" applyFont="1">
      <alignment horizontal="center" vertical="center"/>
    </xf>
    <xf numFmtId="0" fontId="46" fillId="0" borderId="0" xfId="0" applyFont="1">
      <alignment vertical="center"/>
    </xf>
    <xf numFmtId="0" fontId="69" fillId="0" borderId="0" xfId="0" applyFont="1">
      <alignment vertical="center" wrapText="1"/>
    </xf>
    <xf numFmtId="0" fontId="0" fillId="0" borderId="15" xfId="0" applyFont="1" applyBorder="1">
      <alignment vertical="center"/>
    </xf>
    <xf numFmtId="0" fontId="47" fillId="0" borderId="12" xfId="0" applyFont="1" applyBorder="1">
      <alignment horizontal="center" vertical="center" wrapText="1"/>
    </xf>
    <xf numFmtId="0" fontId="72" fillId="0" borderId="0" xfId="0" applyFont="1">
      <alignment horizontal="left" vertical="center" indent="1"/>
    </xf>
    <xf numFmtId="0" fontId="72" fillId="0" borderId="0" xfId="0" applyFont="1">
      <alignment horizontal="left" vertical="center" indent="1"/>
    </xf>
    <xf numFmtId="0" fontId="47" fillId="0" borderId="12" xfId="0" applyFont="1" applyBorder="1">
      <alignment vertical="center" wrapText="1"/>
    </xf>
    <xf numFmtId="0" fontId="72" fillId="0" borderId="0" xfId="0" applyFont="1">
      <alignment horizontal="center" vertical="center"/>
    </xf>
    <xf numFmtId="0" fontId="72" fillId="0" borderId="0" xfId="0" applyFont="1">
      <alignment horizontal="left" vertical="center" wrapText="1"/>
    </xf>
    <xf numFmtId="49" fontId="72" fillId="0" borderId="0" xfId="0" applyFont="1" applyNumberFormat="1">
      <alignment horizontal="left" vertical="center"/>
    </xf>
    <xf numFmtId="0" fontId="22" fillId="0" borderId="0" xfId="0" applyFont="1">
      <alignment horizontal="center" vertical="center"/>
    </xf>
    <xf numFmtId="0" fontId="72" fillId="0" borderId="0" xfId="0" applyFont="1">
      <alignment horizontal="center" vertical="center"/>
    </xf>
    <xf numFmtId="4" fontId="22" fillId="0" borderId="13" xfId="0" applyFont="1" applyBorder="1" applyNumberFormat="1">
      <alignment horizontal="right" vertical="center" wrapText="1"/>
    </xf>
    <xf numFmtId="0" fontId="47" fillId="0" borderId="12" xfId="0" applyFont="1" applyBorder="1">
      <alignment horizontal="left" vertical="center" wrapText="1" indent="4"/>
    </xf>
    <xf numFmtId="0" fontId="47" fillId="0" borderId="12" xfId="0" applyFont="1" applyBorder="1">
      <alignment horizontal="left" vertical="center" wrapText="1" indent="6"/>
    </xf>
    <xf numFmtId="0" fontId="47" fillId="0" borderId="12" xfId="0" applyFont="1" applyBorder="1">
      <alignment vertical="top" wrapText="1"/>
    </xf>
    <xf numFmtId="49" fontId="97" fillId="0" borderId="14" xfId="0" applyFont="1" applyBorder="1" applyNumberFormat="1">
      <alignment horizontal="left" vertical="center"/>
    </xf>
    <xf numFmtId="49" fontId="47" fillId="0" borderId="15" xfId="0" applyFont="1" applyBorder="1" applyNumberFormat="1">
      <alignment horizontal="left" vertical="center" indent="4"/>
    </xf>
    <xf numFmtId="49" fontId="47" fillId="0" borderId="15" xfId="0" applyFont="1" applyBorder="1" applyNumberFormat="1">
      <alignment horizontal="center" vertical="center" wrapText="1"/>
    </xf>
    <xf numFmtId="49" fontId="47" fillId="0" borderId="13" xfId="0" applyFont="1" applyBorder="1" applyNumberFormat="1">
      <alignment horizontal="center" vertical="center" wrapText="1"/>
    </xf>
    <xf numFmtId="4" fontId="22" fillId="0" borderId="36" xfId="0" applyFont="1" applyBorder="1" applyNumberFormat="1">
      <alignment horizontal="right" vertical="center" wrapText="1"/>
    </xf>
    <xf numFmtId="0" fontId="22" fillId="36" borderId="12" xfId="0" applyFont="1" applyFill="1" applyBorder="1">
      <alignment horizontal="left" vertical="center" wrapText="1" indent="7"/>
      <protection locked="0"/>
    </xf>
    <xf numFmtId="0" fontId="22" fillId="37" borderId="15" xfId="0" applyFont="1" applyFill="1" applyBorder="1">
      <alignment horizontal="left" vertical="center" wrapText="1" indent="6"/>
    </xf>
    <xf numFmtId="4" fontId="22" fillId="37" borderId="15" xfId="0" applyFont="1" applyFill="1" applyBorder="1" applyNumberFormat="1">
      <alignment horizontal="right" vertical="center" wrapText="1"/>
    </xf>
    <xf numFmtId="4" fontId="47" fillId="37" borderId="15" xfId="0" applyFont="1" applyFill="1" applyBorder="1" applyNumberFormat="1">
      <alignment horizontal="center" vertical="center" wrapText="1"/>
    </xf>
    <xf numFmtId="4" fontId="22" fillId="37" borderId="13" xfId="0" applyFont="1" applyFill="1" applyBorder="1" applyNumberFormat="1">
      <alignment horizontal="right" vertical="center" wrapText="1"/>
    </xf>
    <xf numFmtId="4" fontId="47" fillId="37" borderId="13" xfId="0" applyFont="1" applyFill="1" applyBorder="1" applyNumberFormat="1">
      <alignment horizontal="center" vertical="center" wrapText="1"/>
    </xf>
    <xf numFmtId="177" fontId="22" fillId="37" borderId="13" xfId="0" applyFont="1" applyFill="1" applyBorder="1" applyNumberFormat="1">
      <alignment horizontal="right" vertical="center" wrapText="1"/>
    </xf>
    <xf numFmtId="0" fontId="22" fillId="40" borderId="12" xfId="0" applyFont="1" applyFill="1" applyBorder="1">
      <alignment horizontal="left" vertical="center" wrapText="1" indent="1"/>
    </xf>
    <xf numFmtId="0" fontId="47" fillId="0" borderId="12" xfId="0" applyFont="1" applyBorder="1">
      <alignment horizontal="left" vertical="center" wrapText="1" indent="5"/>
    </xf>
    <xf numFmtId="49" fontId="72" fillId="0" borderId="24" xfId="0" applyFont="1" applyBorder="1" applyNumberFormat="1">
      <alignment vertical="top"/>
    </xf>
    <xf numFmtId="49" fontId="47" fillId="0" borderId="24" xfId="0" applyFont="1" applyBorder="1" applyNumberFormat="1">
      <alignment vertical="top"/>
    </xf>
    <xf numFmtId="0" fontId="22" fillId="0" borderId="12" xfId="0" applyFont="1" applyBorder="1">
      <alignment horizontal="left" vertical="center" wrapText="1" indent="1"/>
    </xf>
    <xf numFmtId="4" fontId="47" fillId="0" borderId="12" xfId="0" applyFont="1" applyBorder="1" applyNumberFormat="1">
      <alignment horizontal="right" vertical="center" wrapText="1"/>
    </xf>
    <xf numFmtId="177" fontId="47" fillId="0" borderId="12" xfId="0" applyFont="1" applyBorder="1" applyNumberFormat="1">
      <alignment horizontal="right" vertical="center" wrapText="1"/>
    </xf>
    <xf numFmtId="177" fontId="22" fillId="36" borderId="14" xfId="0" applyFont="1" applyFill="1" applyBorder="1" applyNumberFormat="1">
      <alignment horizontal="right" vertical="center" wrapText="1"/>
      <protection locked="0"/>
    </xf>
    <xf numFmtId="4" fontId="47" fillId="0" borderId="14" xfId="0" applyFont="1" applyBorder="1" applyNumberFormat="1">
      <alignment horizontal="center" vertical="center" wrapText="1"/>
    </xf>
    <xf numFmtId="4" fontId="22" fillId="36" borderId="13" xfId="0" applyFont="1" applyFill="1" applyBorder="1" applyNumberFormat="1">
      <alignment horizontal="right" vertical="center" wrapText="1"/>
      <protection locked="0"/>
    </xf>
    <xf numFmtId="49" fontId="22" fillId="37" borderId="27" xfId="0" applyFont="1" applyFill="1" applyBorder="1" applyNumberFormat="1">
      <alignment horizontal="center" vertical="center" wrapText="1"/>
    </xf>
    <xf numFmtId="49" fontId="46" fillId="0" borderId="0" xfId="0" applyFont="1" applyNumberFormat="1">
      <alignment vertical="center" wrapText="1"/>
    </xf>
    <xf numFmtId="0" fontId="46" fillId="0" borderId="0" xfId="0" applyFont="1">
      <alignment horizontal="center" vertical="center" wrapText="1"/>
    </xf>
    <xf numFmtId="0" fontId="56" fillId="35" borderId="0" xfId="0" applyFont="1" applyFill="1">
      <alignment horizontal="center" vertical="center" wrapText="1"/>
    </xf>
    <xf numFmtId="0" fontId="56" fillId="0" borderId="0" xfId="0" applyFont="1">
      <alignment vertical="center" wrapText="1"/>
    </xf>
    <xf numFmtId="0" fontId="47" fillId="0" borderId="0" xfId="0" applyFont="1">
      <alignment vertical="center"/>
    </xf>
    <xf numFmtId="0" fontId="48" fillId="0" borderId="0" xfId="0" applyFont="1">
      <alignment vertical="center"/>
    </xf>
    <xf numFmtId="0" fontId="47" fillId="0" borderId="0" xfId="0" applyFont="1">
      <alignment vertical="center"/>
    </xf>
    <xf numFmtId="0" fontId="47" fillId="0" borderId="0" xfId="0" applyFont="1">
      <alignment vertical="center"/>
    </xf>
    <xf numFmtId="0" fontId="0" fillId="0" borderId="0" xfId="0" applyFont="1">
      <alignment vertical="center"/>
    </xf>
    <xf numFmtId="49" fontId="22" fillId="0" borderId="0" xfId="0" applyFont="1" applyNumberFormat="1">
      <alignment horizontal="center" vertical="center" wrapText="1"/>
    </xf>
    <xf numFmtId="49" fontId="0" fillId="0" borderId="19" xfId="0" applyFont="1" applyBorder="1" applyNumberFormat="1">
      <alignment horizontal="left" vertical="center" wrapText="1"/>
    </xf>
    <xf numFmtId="49" fontId="22" fillId="0" borderId="19" xfId="0" applyFont="1" applyBorder="1" applyNumberFormat="1">
      <alignment horizontal="center" vertical="center" wrapText="1"/>
    </xf>
    <xf numFmtId="0" fontId="46" fillId="0" borderId="0" xfId="0" applyFont="1">
      <alignment horizontal="center" vertical="center" wrapText="1"/>
    </xf>
    <xf numFmtId="0" fontId="47" fillId="0" borderId="0" xfId="0" applyFont="1">
      <alignment horizontal="center" vertical="center" wrapText="1"/>
    </xf>
    <xf numFmtId="0" fontId="22" fillId="0" borderId="0" xfId="0" applyFont="1">
      <alignment horizontal="center" vertical="center" wrapText="1"/>
    </xf>
    <xf numFmtId="49" fontId="22" fillId="0" borderId="12" xfId="0" applyFont="1" applyBorder="1" applyNumberFormat="1">
      <alignment horizontal="left" vertical="center" wrapText="1"/>
    </xf>
    <xf numFmtId="0" fontId="22" fillId="35" borderId="12" xfId="0" applyFont="1" applyFill="1" applyBorder="1">
      <alignment horizontal="left" vertical="center" wrapText="1"/>
    </xf>
    <xf numFmtId="0" fontId="47" fillId="0" borderId="0" xfId="0" applyFont="1">
      <alignment horizontal="center" vertical="center"/>
    </xf>
    <xf numFmtId="49" fontId="22" fillId="0" borderId="0" xfId="0" applyFont="1" applyNumberFormat="1">
      <alignment horizontal="center" vertical="top"/>
    </xf>
    <xf numFmtId="49" fontId="31" fillId="0" borderId="0" xfId="0" applyFont="1" applyNumberFormat="1">
      <alignment horizontal="center" vertical="center"/>
    </xf>
    <xf numFmtId="0" fontId="0" fillId="0" borderId="0" xfId="0" applyFont="1">
      <alignment horizontal="left" vertical="center"/>
    </xf>
    <xf numFmtId="0" fontId="54" fillId="0" borderId="0" xfId="0" applyFont="1">
      <alignment horizontal="left" vertical="center"/>
    </xf>
    <xf numFmtId="49" fontId="0" fillId="0" borderId="0" xfId="0" applyFont="1" applyNumberFormat="1">
      <alignment vertical="center"/>
    </xf>
    <xf numFmtId="0" fontId="0" fillId="0" borderId="0" xfId="0" applyFont="1">
      <alignment horizontal="right" vertical="top"/>
    </xf>
    <xf numFmtId="0" fontId="39" fillId="37" borderId="29" xfId="0" applyFont="1" applyFill="1" applyBorder="1">
      <alignment horizontal="left" vertical="center"/>
    </xf>
    <xf numFmtId="49" fontId="47" fillId="0" borderId="14" xfId="0" applyFont="1" applyBorder="1" applyNumberFormat="1">
      <alignment horizontal="left" vertical="center" wrapText="1"/>
    </xf>
    <xf numFmtId="0" fontId="47" fillId="0" borderId="14" xfId="0" applyFont="1" applyBorder="1">
      <alignment horizontal="left" vertical="center"/>
    </xf>
    <xf numFmtId="0" fontId="47" fillId="0" borderId="15" xfId="0" applyFont="1" applyBorder="1">
      <alignment horizontal="left" vertical="center"/>
    </xf>
    <xf numFmtId="49" fontId="22" fillId="36" borderId="12" xfId="0" applyFont="1" applyFill="1" applyBorder="1" applyNumberFormat="1">
      <alignment horizontal="left" vertical="center" wrapText="1" indent="6"/>
      <protection locked="0"/>
    </xf>
    <xf numFmtId="4" fontId="22" fillId="0" borderId="37" xfId="0" applyFont="1" applyBorder="1" applyNumberFormat="1">
      <alignment horizontal="right" vertical="center" wrapText="1"/>
    </xf>
    <xf numFmtId="4" fontId="22" fillId="0" borderId="30" xfId="0" applyFont="1" applyBorder="1" applyNumberFormat="1">
      <alignment horizontal="right" vertical="center" wrapText="1"/>
    </xf>
    <xf numFmtId="49" fontId="0" fillId="37" borderId="29" xfId="0" applyFont="1" applyFill="1" applyBorder="1" applyNumberFormat="1">
      <alignment horizontal="center" vertical="center" wrapText="1"/>
    </xf>
    <xf numFmtId="0" fontId="0" fillId="0" borderId="0" xfId="0" applyFont="1">
      <alignment vertical="center"/>
    </xf>
    <xf numFmtId="0" fontId="110" fillId="0" borderId="0" xfId="0" applyFont="1">
      <alignment vertical="center" wrapText="1"/>
    </xf>
    <xf numFmtId="49" fontId="22" fillId="0" borderId="19" xfId="0" applyFont="1" applyBorder="1" applyNumberFormat="1">
      <alignment horizontal="center" vertical="center" wrapText="1"/>
    </xf>
    <xf numFmtId="49" fontId="22" fillId="0" borderId="0" xfId="0" applyFont="1" applyNumberFormat="1">
      <alignment horizontal="center" vertical="center" wrapText="1"/>
    </xf>
    <xf numFmtId="49" fontId="0" fillId="0" borderId="19" xfId="0" applyFont="1" applyBorder="1" applyNumberFormat="1">
      <alignment horizontal="left" vertical="center" wrapText="1"/>
    </xf>
    <xf numFmtId="49" fontId="22" fillId="0" borderId="0" xfId="0" applyFont="1" applyNumberFormat="1">
      <alignment vertical="center" wrapText="1"/>
    </xf>
    <xf numFmtId="0" fontId="46" fillId="0" borderId="0" xfId="0" applyFont="1">
      <alignment horizontal="center" vertical="center" wrapText="1"/>
    </xf>
    <xf numFmtId="0" fontId="22" fillId="35" borderId="12" xfId="0" applyFont="1" applyFill="1" applyBorder="1">
      <alignment horizontal="center" vertical="center" wrapText="1"/>
    </xf>
    <xf numFmtId="0" fontId="22" fillId="0" borderId="0" xfId="0" applyFont="1">
      <alignment horizontal="left" vertical="top" wrapText="1"/>
    </xf>
    <xf numFmtId="0" fontId="47" fillId="0" borderId="0" xfId="0" applyFont="1">
      <alignment horizontal="center" vertical="center" wrapText="1"/>
    </xf>
    <xf numFmtId="0" fontId="80" fillId="35" borderId="19" xfId="0" applyFont="1" applyFill="1" applyBorder="1">
      <alignment horizontal="center" vertical="center" wrapText="1"/>
    </xf>
    <xf numFmtId="0" fontId="22" fillId="0" borderId="17" xfId="0" applyFont="1" applyBorder="1">
      <alignment horizontal="center" vertical="center" wrapText="1"/>
    </xf>
    <xf numFmtId="0" fontId="22" fillId="0" borderId="0" xfId="0" applyFont="1">
      <alignment horizontal="center" vertical="center" wrapText="1"/>
    </xf>
    <xf numFmtId="0" fontId="22" fillId="0" borderId="0" xfId="0" applyFont="1">
      <alignment horizontal="right" vertical="center" wrapText="1"/>
    </xf>
    <xf numFmtId="0" fontId="0" fillId="0" borderId="12" xfId="0" applyFont="1" applyBorder="1">
      <alignment horizontal="center" vertical="center" wrapText="1"/>
    </xf>
    <xf numFmtId="49" fontId="22" fillId="0" borderId="12" xfId="0" applyFont="1" applyBorder="1" applyNumberFormat="1">
      <alignment horizontal="left" vertical="center" wrapText="1"/>
    </xf>
    <xf numFmtId="0" fontId="22" fillId="35" borderId="12" xfId="0" applyFont="1" applyFill="1" applyBorder="1">
      <alignment horizontal="left" vertical="center" wrapText="1"/>
    </xf>
    <xf numFmtId="0" fontId="47" fillId="0" borderId="0" xfId="0" applyFont="1">
      <alignment horizontal="center" vertical="center"/>
    </xf>
    <xf numFmtId="49" fontId="22" fillId="40" borderId="12" xfId="0" applyFont="1" applyFill="1" applyBorder="1" applyNumberFormat="1">
      <alignment horizontal="center" vertical="center" wrapText="1"/>
    </xf>
    <xf numFmtId="49" fontId="47" fillId="0" borderId="12" xfId="0" applyFont="1" applyBorder="1" applyNumberFormat="1">
      <alignment horizontal="center" vertical="center" wrapText="1"/>
    </xf>
    <xf numFmtId="0" fontId="46" fillId="0" borderId="0" xfId="0" applyFont="1">
      <alignment horizontal="center" vertical="center" wrapText="1"/>
    </xf>
    <xf numFmtId="0" fontId="47" fillId="0" borderId="0" xfId="0" applyFont="1">
      <alignment horizontal="center" vertical="center" wrapText="1"/>
    </xf>
    <xf numFmtId="49" fontId="22" fillId="35" borderId="12" xfId="0" applyFont="1" applyFill="1" applyBorder="1" applyNumberFormat="1">
      <alignment horizontal="center" vertical="center" wrapText="1"/>
    </xf>
    <xf numFmtId="0" fontId="47" fillId="0" borderId="0" xfId="0" applyFont="1">
      <alignment horizontal="center" vertical="center"/>
    </xf>
    <xf numFmtId="0" fontId="22" fillId="35" borderId="12" xfId="0" applyFont="1" applyFill="1" applyBorder="1">
      <alignment horizontal="left" vertical="center" wrapText="1"/>
    </xf>
    <xf numFmtId="49" fontId="22" fillId="39" borderId="12" xfId="0" applyFont="1" applyFill="1" applyBorder="1" applyNumberFormat="1">
      <alignment horizontal="left" vertical="center" wrapText="1" indent="1"/>
      <protection locked="0"/>
    </xf>
    <xf numFmtId="0" fontId="0" fillId="0" borderId="0" xfId="0" applyFont="1">
      <alignment vertical="center"/>
    </xf>
    <xf numFmtId="0" fontId="22" fillId="0" borderId="0" xfId="0" applyFont="1">
      <alignment horizontal="center" vertical="center" wrapText="1"/>
    </xf>
    <xf numFmtId="49" fontId="22" fillId="40" borderId="12" xfId="0" applyFont="1" applyFill="1" applyBorder="1" applyNumberFormat="1">
      <alignment horizontal="center" vertical="center" wrapText="1"/>
    </xf>
    <xf numFmtId="49" fontId="22" fillId="0" borderId="19" xfId="0" applyFont="1" applyBorder="1" applyNumberFormat="1">
      <alignment horizontal="center" vertical="center" wrapText="1"/>
    </xf>
    <xf numFmtId="49" fontId="22" fillId="0" borderId="0" xfId="0" applyFont="1" applyNumberFormat="1">
      <alignment horizontal="center" vertical="center" wrapText="1"/>
    </xf>
    <xf numFmtId="49" fontId="0" fillId="0" borderId="19" xfId="0" applyFont="1" applyBorder="1" applyNumberFormat="1">
      <alignment horizontal="left" vertical="center" wrapText="1"/>
    </xf>
    <xf numFmtId="49" fontId="22" fillId="0" borderId="0" xfId="0" applyFont="1" applyNumberFormat="1">
      <alignment vertical="center" wrapText="1"/>
    </xf>
    <xf numFmtId="49" fontId="22" fillId="35" borderId="12" xfId="0" applyFont="1" applyFill="1" applyBorder="1" applyNumberFormat="1">
      <alignment horizontal="center" vertical="center" wrapText="1"/>
    </xf>
    <xf numFmtId="0" fontId="47" fillId="35" borderId="0" xfId="0" applyFont="1" applyFill="1">
      <alignment horizontal="center" vertical="center" wrapText="1"/>
    </xf>
    <xf numFmtId="0" fontId="0" fillId="35" borderId="12" xfId="0" applyFont="1" applyFill="1" applyBorder="1">
      <alignment horizontal="center" vertical="center" wrapText="1"/>
    </xf>
    <xf numFmtId="0" fontId="22" fillId="35" borderId="24" xfId="0" applyFont="1" applyFill="1" applyBorder="1">
      <alignment horizontal="center" vertical="center" wrapText="1"/>
    </xf>
    <xf numFmtId="0" fontId="46" fillId="0" borderId="0" xfId="0" applyFont="1">
      <alignment horizontal="center" vertical="center" wrapText="1"/>
    </xf>
    <xf numFmtId="0" fontId="22" fillId="35" borderId="12" xfId="0" applyFont="1" applyFill="1" applyBorder="1">
      <alignment horizontal="center" vertical="center" wrapText="1"/>
    </xf>
    <xf numFmtId="0" fontId="22" fillId="0" borderId="0" xfId="0" applyFont="1">
      <alignment horizontal="left" vertical="top" wrapText="1"/>
    </xf>
    <xf numFmtId="0" fontId="47" fillId="0" borderId="0" xfId="0" applyFont="1">
      <alignment horizontal="center" vertical="center" wrapText="1"/>
    </xf>
    <xf numFmtId="0" fontId="80" fillId="35" borderId="19" xfId="0" applyFont="1" applyFill="1" applyBorder="1">
      <alignment horizontal="center" vertical="center" wrapText="1"/>
    </xf>
    <xf numFmtId="0" fontId="22" fillId="0" borderId="17" xfId="0" applyFont="1" applyBorder="1">
      <alignment horizontal="center" vertical="center" wrapText="1"/>
    </xf>
    <xf numFmtId="0" fontId="22" fillId="0" borderId="12" xfId="0" applyFont="1" applyBorder="1">
      <alignment horizontal="center" vertical="center" wrapText="1"/>
    </xf>
    <xf numFmtId="49" fontId="47" fillId="0" borderId="12" xfId="0" applyFont="1" applyBorder="1" applyNumberFormat="1">
      <alignment horizontal="center" vertical="center" wrapText="1"/>
    </xf>
    <xf numFmtId="49" fontId="22" fillId="35" borderId="12" xfId="0" applyFont="1" applyFill="1" applyBorder="1" applyNumberFormat="1">
      <alignment horizontal="center" vertical="center" wrapText="1"/>
    </xf>
    <xf numFmtId="0" fontId="22" fillId="0" borderId="0" xfId="0" applyFont="1">
      <alignment horizontal="center" vertical="center" wrapText="1"/>
    </xf>
    <xf numFmtId="0" fontId="22" fillId="0" borderId="0" xfId="0" applyFont="1">
      <alignment horizontal="right" vertical="center" wrapText="1"/>
    </xf>
    <xf numFmtId="0" fontId="0" fillId="0" borderId="12" xfId="0" applyFont="1" applyBorder="1">
      <alignment horizontal="center" vertical="center" wrapText="1"/>
    </xf>
    <xf numFmtId="49" fontId="22" fillId="0" borderId="12" xfId="0" applyFont="1" applyBorder="1" applyNumberFormat="1">
      <alignment horizontal="left" vertical="center" wrapText="1"/>
    </xf>
    <xf numFmtId="49" fontId="22" fillId="40" borderId="12" xfId="0" applyFont="1" applyFill="1" applyBorder="1" applyNumberFormat="1">
      <alignment horizontal="left" vertical="center" wrapText="1"/>
    </xf>
    <xf numFmtId="49" fontId="22" fillId="39" borderId="12" xfId="0" applyFont="1" applyFill="1" applyBorder="1" applyNumberFormat="1">
      <alignment horizontal="left" vertical="center" wrapText="1" indent="1"/>
      <protection locked="0"/>
    </xf>
    <xf numFmtId="0" fontId="22" fillId="35" borderId="12" xfId="0" applyFont="1" applyFill="1" applyBorder="1">
      <alignment horizontal="left" vertical="center" wrapText="1"/>
    </xf>
    <xf numFmtId="0" fontId="47" fillId="0" borderId="0" xfId="0" applyFont="1">
      <alignment horizontal="center" vertical="center"/>
    </xf>
    <xf numFmtId="0" fontId="36" fillId="0" borderId="0" xfId="0" applyFont="1">
      <alignment horizontal="center" vertical="center" wrapText="1"/>
    </xf>
    <xf numFmtId="177" fontId="22" fillId="37" borderId="15" xfId="0" applyFont="1" applyFill="1" applyBorder="1" applyNumberFormat="1">
      <alignment horizontal="right" vertical="center" wrapText="1"/>
    </xf>
    <xf numFmtId="0" fontId="111" fillId="0" borderId="0" xfId="0" applyFont="1">
      <alignment vertical="center" wrapText="1"/>
    </xf>
    <xf numFmtId="0" fontId="111" fillId="35" borderId="0" xfId="0" applyFont="1" applyFill="1">
      <alignment horizontal="center" vertical="center" wrapText="1"/>
    </xf>
    <xf numFmtId="0" fontId="47" fillId="35" borderId="12" xfId="0" applyFont="1" applyFill="1" applyBorder="1">
      <alignment horizontal="left" vertical="center" wrapText="1" indent="3"/>
    </xf>
    <xf numFmtId="49" fontId="39" fillId="37" borderId="27" xfId="0" applyFont="1" applyFill="1" applyBorder="1" applyNumberFormat="1">
      <alignment horizontal="left" vertical="center"/>
    </xf>
    <xf numFmtId="0" fontId="111" fillId="0" borderId="0" xfId="0" applyFont="1">
      <alignment horizontal="center" vertical="center" wrapText="1"/>
    </xf>
    <xf numFmtId="49" fontId="47" fillId="0" borderId="0" xfId="0" applyFont="1" applyNumberFormat="1">
      <alignment horizontal="left" vertical="center" wrapText="1" indent="1"/>
    </xf>
    <xf numFmtId="0" fontId="47" fillId="0" borderId="0" xfId="0" applyFont="1">
      <alignment horizontal="left" vertical="center" wrapText="1" indent="4"/>
    </xf>
    <xf numFmtId="0" fontId="47" fillId="0" borderId="0" xfId="0" applyFont="1">
      <alignment horizontal="left" vertical="center" wrapText="1" indent="1"/>
    </xf>
    <xf numFmtId="49" fontId="22" fillId="37" borderId="14" xfId="0" applyFont="1" applyFill="1" applyBorder="1" applyNumberFormat="1">
      <alignment horizontal="center" vertical="center" wrapText="1"/>
    </xf>
    <xf numFmtId="0" fontId="47" fillId="0" borderId="24" xfId="0" applyFont="1" applyBorder="1">
      <alignment horizontal="left" vertical="center" wrapText="1" indent="1"/>
    </xf>
    <xf numFmtId="0" fontId="46" fillId="0" borderId="0" xfId="0" applyFont="1">
      <alignment horizontal="left" vertical="center"/>
    </xf>
    <xf numFmtId="49" fontId="46" fillId="0" borderId="0" xfId="0" applyFont="1" applyNumberFormat="1">
      <alignment horizontal="left" vertical="center"/>
    </xf>
    <xf numFmtId="0" fontId="46" fillId="0" borderId="0" xfId="0" applyFont="1">
      <alignment horizontal="left" vertical="center"/>
    </xf>
    <xf numFmtId="0" fontId="69" fillId="0" borderId="0" xfId="0" applyFont="1">
      <alignment horizontal="left" vertical="center"/>
    </xf>
    <xf numFmtId="0" fontId="47" fillId="0" borderId="0" xfId="0" applyFont="1">
      <alignment horizontal="left" vertical="center"/>
    </xf>
    <xf numFmtId="49" fontId="22" fillId="0" borderId="0" xfId="0" applyFont="1" applyNumberFormat="1">
      <alignment horizontal="center" vertical="center" wrapText="1"/>
    </xf>
    <xf numFmtId="49" fontId="22" fillId="0" borderId="19" xfId="0" applyFont="1" applyBorder="1" applyNumberFormat="1">
      <alignment horizontal="center" vertical="center" wrapText="1"/>
    </xf>
    <xf numFmtId="49" fontId="22" fillId="0" borderId="19" xfId="0" applyFont="1" applyBorder="1" applyNumberFormat="1">
      <alignment horizontal="left" vertical="center" wrapText="1"/>
    </xf>
    <xf numFmtId="0" fontId="36" fillId="0" borderId="0" xfId="0" applyFont="1">
      <alignment horizontal="center" vertical="center" wrapText="1"/>
    </xf>
    <xf numFmtId="0" fontId="36" fillId="35" borderId="0" xfId="0" applyFont="1" applyFill="1">
      <alignment horizontal="center" vertical="center" wrapText="1"/>
    </xf>
    <xf numFmtId="49" fontId="46" fillId="0" borderId="0" xfId="0" applyFont="1" applyNumberFormat="1">
      <alignment horizontal="left" vertical="center"/>
    </xf>
    <xf numFmtId="49" fontId="46" fillId="0" borderId="0" xfId="0" applyFont="1" applyNumberFormat="1">
      <alignment horizontal="left" vertical="center"/>
    </xf>
    <xf numFmtId="49" fontId="46" fillId="0" borderId="0" xfId="0" applyFont="1" applyNumberFormat="1">
      <alignment horizontal="left" vertical="top"/>
    </xf>
    <xf numFmtId="49" fontId="22" fillId="35" borderId="12" xfId="0" applyFont="1" applyFill="1" applyBorder="1" applyNumberFormat="1">
      <alignment horizontal="center" vertical="center"/>
    </xf>
    <xf numFmtId="0" fontId="22" fillId="0" borderId="12" xfId="0" applyFont="1" applyBorder="1">
      <alignment horizontal="center" vertical="center" wrapText="1"/>
    </xf>
    <xf numFmtId="0" fontId="22" fillId="35" borderId="12" xfId="0" applyFont="1" applyFill="1" applyBorder="1">
      <alignment horizontal="left" vertical="center" wrapText="1" indent="1"/>
    </xf>
    <xf numFmtId="49" fontId="22" fillId="0" borderId="12" xfId="0" applyFont="1" applyBorder="1" applyNumberFormat="1">
      <alignment horizontal="center" vertical="center"/>
    </xf>
    <xf numFmtId="0" fontId="22" fillId="0" borderId="12" xfId="0" applyFont="1" applyBorder="1">
      <alignment horizontal="left" vertical="center" wrapText="1" indent="1"/>
    </xf>
    <xf numFmtId="0" fontId="22" fillId="0" borderId="12" xfId="0" applyFont="1" applyBorder="1">
      <alignment vertical="center" wrapText="1"/>
    </xf>
    <xf numFmtId="49" fontId="22" fillId="39" borderId="12" xfId="0" applyFont="1" applyFill="1" applyBorder="1" applyNumberFormat="1">
      <alignment horizontal="left" vertical="center" wrapText="1"/>
      <protection locked="0"/>
    </xf>
    <xf numFmtId="0" fontId="22" fillId="35" borderId="12" xfId="0" applyFont="1" applyFill="1" applyBorder="1">
      <alignment horizontal="left" vertical="center" wrapText="1"/>
    </xf>
    <xf numFmtId="0" fontId="47" fillId="35" borderId="12" xfId="0" applyFont="1" applyFill="1" applyBorder="1">
      <alignment horizontal="center" vertical="center"/>
    </xf>
    <xf numFmtId="0" fontId="72" fillId="35" borderId="0" xfId="0" applyFont="1" applyFill="1">
      <alignment vertical="center" wrapText="1"/>
    </xf>
    <xf numFmtId="0" fontId="67" fillId="35" borderId="0" xfId="0" applyFont="1" applyFill="1"/>
    <xf numFmtId="49" fontId="22" fillId="36" borderId="12" xfId="0" applyFont="1" applyFill="1" applyBorder="1" applyNumberFormat="1">
      <alignment horizontal="left" vertical="center" wrapText="1"/>
      <protection locked="0"/>
    </xf>
    <xf numFmtId="0" fontId="84" fillId="35" borderId="0" xfId="0" applyFont="1" applyFill="1"/>
    <xf numFmtId="0" fontId="68" fillId="35" borderId="0" xfId="0" applyFont="1" applyFill="1"/>
    <xf numFmtId="14" fontId="22" fillId="39" borderId="23" xfId="0" applyFont="1" applyFill="1" applyBorder="1" applyNumberFormat="1">
      <alignment horizontal="left" vertical="center" wrapText="1" indent="1"/>
      <protection locked="0"/>
    </xf>
    <xf numFmtId="0" fontId="112" fillId="0" borderId="0" xfId="0" applyFont="1">
      <alignment vertical="center"/>
    </xf>
    <xf numFmtId="0" fontId="112" fillId="0" borderId="0" xfId="0" applyFont="1">
      <alignment vertical="center" wrapText="1"/>
    </xf>
    <xf numFmtId="180" fontId="22" fillId="0" borderId="23" xfId="0" applyFont="1" applyBorder="1" applyNumberFormat="1">
      <alignment horizontal="center" vertical="center" wrapText="1"/>
    </xf>
    <xf numFmtId="14" fontId="22" fillId="39" borderId="12" xfId="0" applyFont="1" applyFill="1" applyBorder="1" applyNumberFormat="1">
      <alignment horizontal="left" vertical="center" wrapText="1" indent="1"/>
      <protection locked="0"/>
    </xf>
    <xf numFmtId="0" fontId="22" fillId="34" borderId="23" xfId="0" applyFont="1" applyFill="1" applyBorder="1">
      <alignment horizontal="left" vertical="center" wrapText="1" indent="1"/>
    </xf>
    <xf numFmtId="180" fontId="22" fillId="0" borderId="17" xfId="0" applyFont="1" applyBorder="1" applyNumberFormat="1">
      <alignment horizontal="center" vertical="center" wrapText="1"/>
    </xf>
    <xf numFmtId="49" fontId="49" fillId="37" borderId="30" xfId="0" applyFont="1" applyFill="1" applyBorder="1" applyNumberFormat="1">
      <alignment horizontal="right" vertical="center" wrapText="1"/>
    </xf>
    <xf numFmtId="49" fontId="0" fillId="37" borderId="27" xfId="0" applyFont="1" applyFill="1" applyBorder="1" applyNumberFormat="1">
      <alignment horizontal="right" vertical="center" wrapText="1"/>
    </xf>
    <xf numFmtId="49" fontId="53" fillId="37" borderId="27" xfId="0" applyFont="1" applyFill="1" applyBorder="1" applyNumberFormat="1">
      <alignment horizontal="left" vertical="center" wrapText="1"/>
    </xf>
    <xf numFmtId="0" fontId="47" fillId="0" borderId="27" xfId="0" applyFont="1" applyBorder="1">
      <alignment horizontal="center" vertical="center" wrapText="1"/>
    </xf>
    <xf numFmtId="0" fontId="47" fillId="0" borderId="0" xfId="0" applyFont="1">
      <alignment horizontal="center" vertical="center"/>
    </xf>
    <xf numFmtId="0" fontId="41" fillId="0" borderId="0" xfId="0" applyFont="1">
      <alignment horizontal="center" vertical="center" wrapText="1"/>
    </xf>
    <xf numFmtId="14" fontId="22" fillId="40" borderId="12" xfId="0" applyFont="1" applyFill="1" applyBorder="1" applyNumberFormat="1">
      <alignment horizontal="left" vertical="center" wrapText="1"/>
    </xf>
    <xf numFmtId="180" fontId="22" fillId="0" borderId="37" xfId="0" applyFont="1" applyBorder="1" applyNumberFormat="1">
      <alignment horizontal="center" vertical="center" wrapText="1"/>
    </xf>
    <xf numFmtId="0" fontId="22" fillId="39" borderId="12" xfId="0" applyFont="1" applyFill="1" applyBorder="1">
      <alignment horizontal="center" vertical="center" wrapText="1"/>
      <protection locked="0"/>
    </xf>
    <xf numFmtId="0" fontId="46" fillId="35" borderId="0" xfId="0" applyFont="1" applyFill="1"/>
    <xf numFmtId="0" fontId="22" fillId="0" borderId="15" xfId="0" applyFont="1" applyBorder="1">
      <alignment horizontal="right" vertical="center" wrapText="1" indent="1"/>
    </xf>
    <xf numFmtId="0" fontId="22" fillId="34" borderId="14" xfId="0" applyFont="1" applyFill="1" applyBorder="1">
      <alignment horizontal="left" vertical="top" wrapText="1"/>
    </xf>
    <xf numFmtId="49" fontId="47" fillId="0" borderId="0" xfId="0" applyFont="1" applyNumberFormat="1">
      <alignment horizontal="center" vertical="center"/>
    </xf>
    <xf numFmtId="49" fontId="67" fillId="0" borderId="0" xfId="0" applyFont="1" applyNumberFormat="1">
      <alignment vertical="top"/>
    </xf>
    <xf numFmtId="0" fontId="41" fillId="0" borderId="0" xfId="0" applyFont="1">
      <alignment vertical="center"/>
    </xf>
    <xf numFmtId="0" fontId="22" fillId="0" borderId="36" xfId="0" applyFont="1" applyBorder="1">
      <alignment horizontal="center" vertical="center" wrapText="1"/>
    </xf>
    <xf numFmtId="0" fontId="22" fillId="0" borderId="37" xfId="0" applyFont="1" applyBorder="1">
      <alignment horizontal="center" vertical="center" wrapText="1"/>
    </xf>
    <xf numFmtId="0" fontId="22" fillId="0" borderId="17" xfId="0" applyFont="1" applyBorder="1">
      <alignment horizontal="center" vertical="center" wrapText="1"/>
    </xf>
    <xf numFmtId="0" fontId="22" fillId="0" borderId="22" xfId="0" applyFont="1" applyBorder="1">
      <alignment horizontal="center" vertical="center" wrapText="1"/>
    </xf>
    <xf numFmtId="49" fontId="22" fillId="0" borderId="36" xfId="0" applyFont="1" applyBorder="1" applyNumberFormat="1">
      <alignment horizontal="left" vertical="center" wrapText="1"/>
    </xf>
    <xf numFmtId="49" fontId="22" fillId="0" borderId="36" xfId="0" applyFont="1" applyBorder="1" applyNumberFormat="1">
      <alignment horizontal="center" vertical="center" wrapText="1"/>
    </xf>
    <xf numFmtId="49" fontId="22" fillId="0" borderId="17" xfId="0" applyFont="1" applyBorder="1" applyNumberFormat="1">
      <alignment horizontal="center" vertical="center" wrapText="1"/>
    </xf>
    <xf numFmtId="0" fontId="22" fillId="0" borderId="36" xfId="0" applyFont="1" applyBorder="1">
      <alignment horizontal="left" vertical="center" wrapText="1"/>
    </xf>
    <xf numFmtId="49" fontId="22" fillId="0" borderId="36" xfId="0" applyFont="1" applyBorder="1" applyNumberFormat="1">
      <alignment vertical="center" wrapText="1"/>
    </xf>
    <xf numFmtId="0" fontId="22" fillId="0" borderId="23" xfId="0" applyFont="1" applyBorder="1">
      <alignment horizontal="left" vertical="center" wrapText="1"/>
    </xf>
    <xf numFmtId="0" fontId="39" fillId="0" borderId="23" xfId="0" applyFont="1" applyBorder="1">
      <alignment horizontal="left" vertical="center"/>
    </xf>
    <xf numFmtId="0" fontId="39" fillId="37" borderId="14" xfId="0" applyFont="1" applyFill="1" applyBorder="1">
      <alignment horizontal="left" vertical="center"/>
    </xf>
    <xf numFmtId="0" fontId="39" fillId="0" borderId="36" xfId="0" applyFont="1" applyBorder="1">
      <alignment horizontal="left" vertical="center"/>
    </xf>
    <xf numFmtId="0" fontId="39" fillId="37" borderId="37" xfId="0" applyFont="1" applyFill="1" applyBorder="1">
      <alignment horizontal="left" vertical="center"/>
    </xf>
    <xf numFmtId="49" fontId="67" fillId="37" borderId="14" xfId="0" applyFont="1" applyFill="1" applyBorder="1" applyNumberFormat="1">
      <alignment vertical="top"/>
    </xf>
    <xf numFmtId="49" fontId="67" fillId="37" borderId="15" xfId="0" applyFont="1" applyFill="1" applyBorder="1" applyNumberFormat="1">
      <alignment vertical="top"/>
    </xf>
    <xf numFmtId="49" fontId="22" fillId="40" borderId="17" xfId="0" applyFont="1" applyFill="1" applyBorder="1" applyNumberFormat="1">
      <alignment vertical="center" wrapText="1"/>
    </xf>
    <xf numFmtId="0" fontId="22" fillId="0" borderId="37" xfId="0" applyFont="1" applyBorder="1">
      <alignment horizontal="center" vertical="center" wrapText="1"/>
    </xf>
    <xf numFmtId="49" fontId="0" fillId="0" borderId="0" xfId="0" applyFont="1" applyNumberFormat="1">
      <alignment vertical="top"/>
    </xf>
    <xf numFmtId="49" fontId="46" fillId="0" borderId="0" xfId="0" applyFont="1" applyNumberFormat="1">
      <alignment horizontal="center" vertical="center"/>
    </xf>
    <xf numFmtId="0" fontId="113" fillId="0" borderId="0" xfId="0" applyFont="1">
      <alignment vertical="center" wrapText="1"/>
    </xf>
    <xf numFmtId="0" fontId="114" fillId="0" borderId="0" xfId="0" applyFont="1">
      <alignment vertical="center" wrapText="1"/>
    </xf>
    <xf numFmtId="0" fontId="22" fillId="0" borderId="17" xfId="0" applyFont="1" applyBorder="1">
      <alignment horizontal="center" vertical="center" wrapText="1"/>
    </xf>
    <xf numFmtId="49" fontId="22" fillId="0" borderId="17" xfId="0" applyFont="1" applyBorder="1" applyNumberFormat="1">
      <alignment horizontal="left" vertical="center" wrapText="1"/>
    </xf>
    <xf numFmtId="49" fontId="22" fillId="0" borderId="17" xfId="0" applyFont="1" applyBorder="1" applyNumberFormat="1">
      <alignment horizontal="left" vertical="center" wrapText="1"/>
    </xf>
    <xf numFmtId="49" fontId="22" fillId="0" borderId="17" xfId="0" applyFont="1" applyBorder="1" applyNumberFormat="1">
      <alignment horizontal="center" vertical="center" wrapText="1"/>
    </xf>
    <xf numFmtId="0" fontId="22" fillId="0" borderId="17" xfId="0" applyFont="1" applyBorder="1">
      <alignment horizontal="left" vertical="center" wrapText="1"/>
    </xf>
    <xf numFmtId="0" fontId="22" fillId="0" borderId="0" xfId="0" applyFont="1">
      <alignment horizontal="left" vertical="center" wrapText="1"/>
    </xf>
    <xf numFmtId="49" fontId="22" fillId="0" borderId="19" xfId="0" applyFont="1" applyBorder="1" applyNumberFormat="1">
      <alignment vertical="center" wrapText="1"/>
    </xf>
    <xf numFmtId="49" fontId="22" fillId="0" borderId="19" xfId="0" applyFont="1" applyBorder="1" applyNumberFormat="1">
      <alignment horizontal="left" vertical="center" wrapText="1"/>
    </xf>
    <xf numFmtId="49" fontId="36" fillId="0" borderId="19" xfId="0" applyFont="1" applyBorder="1" applyNumberFormat="1">
      <alignment vertical="center" wrapText="1"/>
    </xf>
    <xf numFmtId="49" fontId="22" fillId="0" borderId="19" xfId="0" applyFont="1" applyBorder="1" applyNumberFormat="1">
      <alignment horizontal="center" vertical="center" wrapText="1"/>
    </xf>
    <xf numFmtId="0" fontId="22" fillId="0" borderId="19" xfId="0" applyFont="1" applyBorder="1">
      <alignment horizontal="left" vertical="center" wrapText="1"/>
    </xf>
    <xf numFmtId="49" fontId="22" fillId="0" borderId="19" xfId="0" applyFont="1" applyBorder="1" applyNumberFormat="1">
      <alignment vertical="center" wrapText="1"/>
    </xf>
    <xf numFmtId="49" fontId="22" fillId="0" borderId="0" xfId="0" applyFont="1" applyNumberFormat="1">
      <alignment vertical="center" wrapText="1"/>
    </xf>
    <xf numFmtId="49" fontId="22" fillId="0" borderId="0" xfId="0" applyFont="1" applyNumberFormat="1">
      <alignment horizontal="left" vertical="center" wrapText="1"/>
    </xf>
    <xf numFmtId="49" fontId="36" fillId="0" borderId="0" xfId="0" applyFont="1" applyNumberFormat="1">
      <alignment vertical="center" wrapText="1"/>
    </xf>
    <xf numFmtId="49" fontId="22" fillId="0" borderId="0" xfId="0" applyFont="1" applyNumberFormat="1">
      <alignment horizontal="center" vertical="center" wrapText="1"/>
    </xf>
    <xf numFmtId="0" fontId="22" fillId="0" borderId="0" xfId="0" applyFont="1">
      <alignment horizontal="left" vertical="center" wrapText="1"/>
    </xf>
    <xf numFmtId="0" fontId="39" fillId="0" borderId="0" xfId="0" applyFont="1">
      <alignment horizontal="left" vertical="center"/>
    </xf>
    <xf numFmtId="49" fontId="36" fillId="0" borderId="0" xfId="0" applyFont="1" applyNumberFormat="1">
      <alignment horizontal="center" vertical="center" wrapText="1"/>
    </xf>
    <xf numFmtId="0" fontId="39" fillId="0" borderId="0" xfId="0" applyFont="1">
      <alignment vertical="center"/>
    </xf>
    <xf numFmtId="49" fontId="67" fillId="0" borderId="30" xfId="0" applyFont="1" applyBorder="1" applyNumberFormat="1">
      <alignment vertical="top"/>
    </xf>
    <xf numFmtId="49" fontId="22" fillId="0" borderId="37" xfId="0" applyFont="1" applyBorder="1" applyNumberFormat="1">
      <alignment vertical="center" wrapText="1"/>
    </xf>
    <xf numFmtId="49" fontId="22" fillId="0" borderId="22" xfId="0" applyFont="1" applyBorder="1" applyNumberFormat="1">
      <alignment vertical="center" wrapText="1"/>
    </xf>
    <xf numFmtId="0" fontId="39" fillId="0" borderId="22" xfId="0" applyFont="1" applyBorder="1">
      <alignment horizontal="left" vertical="center"/>
    </xf>
    <xf numFmtId="49" fontId="67" fillId="0" borderId="27" xfId="0" applyFont="1" applyBorder="1" applyNumberFormat="1">
      <alignment vertical="top"/>
    </xf>
    <xf numFmtId="49" fontId="22" fillId="0" borderId="36" xfId="0" applyFont="1" applyBorder="1" applyNumberFormat="1">
      <alignment horizontal="center" vertical="center" wrapText="1"/>
    </xf>
    <xf numFmtId="0" fontId="39" fillId="37" borderId="37" xfId="0" applyFont="1" applyFill="1" applyBorder="1">
      <alignment vertical="center"/>
    </xf>
    <xf numFmtId="49" fontId="0" fillId="0" borderId="12" xfId="0" applyFont="1" applyBorder="1" applyNumberFormat="1">
      <alignment horizontal="left" vertical="center" wrapText="1" indent="1"/>
    </xf>
    <xf numFmtId="49" fontId="0" fillId="0" borderId="0" xfId="0" applyFont="1" applyNumberFormat="1">
      <alignment vertical="top"/>
    </xf>
    <xf numFmtId="0" fontId="22" fillId="0" borderId="0" xfId="0" applyFont="1">
      <alignment vertical="center" wrapText="1"/>
    </xf>
    <xf numFmtId="0" fontId="31" fillId="0" borderId="0" xfId="0" applyFont="1">
      <alignment vertical="center" wrapText="1"/>
    </xf>
    <xf numFmtId="0" fontId="41" fillId="0" borderId="0" xfId="0" applyFont="1">
      <alignment vertical="center" wrapText="1"/>
    </xf>
    <xf numFmtId="0" fontId="22" fillId="0" borderId="0" xfId="0" applyFont="1">
      <alignment horizontal="left" vertical="center" wrapText="1"/>
    </xf>
    <xf numFmtId="0" fontId="58" fillId="0" borderId="0" xfId="0" applyFont="1">
      <alignment vertical="center" wrapText="1"/>
    </xf>
    <xf numFmtId="0" fontId="60" fillId="0" borderId="0" xfId="0" applyFont="1">
      <alignment vertical="center" wrapText="1"/>
    </xf>
    <xf numFmtId="0" fontId="88" fillId="0" borderId="0" xfId="0" applyFont="1">
      <alignment vertical="center" wrapText="1"/>
    </xf>
    <xf numFmtId="0" fontId="47" fillId="0" borderId="0" xfId="0" applyFont="1">
      <alignment vertical="center" wrapText="1"/>
    </xf>
    <xf numFmtId="0" fontId="64" fillId="0" borderId="0" xfId="0" applyFont="1">
      <alignment vertical="center" wrapText="1"/>
    </xf>
    <xf numFmtId="49" fontId="22" fillId="0" borderId="12" xfId="0" applyFont="1" applyBorder="1" applyNumberFormat="1">
      <alignment horizontal="center" vertical="center" wrapText="1"/>
    </xf>
    <xf numFmtId="0" fontId="36" fillId="35" borderId="12" xfId="0" applyFont="1" applyFill="1" applyBorder="1">
      <alignment horizontal="center" vertical="center" wrapText="1"/>
    </xf>
    <xf numFmtId="0" fontId="22" fillId="0" borderId="0" xfId="0" applyFont="1">
      <alignment vertical="center" wrapText="1"/>
    </xf>
    <xf numFmtId="0" fontId="36" fillId="35" borderId="0" xfId="0" applyFont="1" applyFill="1">
      <alignment horizontal="center" vertical="center" wrapText="1"/>
    </xf>
    <xf numFmtId="49" fontId="22" fillId="0" borderId="12" xfId="0" applyFont="1" applyBorder="1" applyNumberFormat="1">
      <alignment horizontal="center" vertical="center" wrapText="1"/>
    </xf>
    <xf numFmtId="3" fontId="22" fillId="39" borderId="12" xfId="0" applyFont="1" applyFill="1" applyBorder="1" applyNumberFormat="1">
      <alignment horizontal="right" vertical="center" wrapText="1"/>
      <protection locked="0"/>
    </xf>
    <xf numFmtId="0" fontId="47" fillId="0" borderId="0" xfId="0" applyFont="1">
      <alignment vertical="center" wrapText="1"/>
    </xf>
    <xf numFmtId="49" fontId="22" fillId="39" borderId="12" xfId="0" applyFont="1" applyFill="1" applyBorder="1" applyNumberFormat="1">
      <alignment horizontal="left" vertical="center" wrapText="1"/>
      <protection locked="0"/>
    </xf>
    <xf numFmtId="0" fontId="47" fillId="0" borderId="0" xfId="0" applyFont="1">
      <alignment vertical="center"/>
    </xf>
    <xf numFmtId="0" fontId="36" fillId="35" borderId="12" xfId="0" applyFont="1" applyFill="1" applyBorder="1">
      <alignment horizontal="center" vertical="center" wrapText="1"/>
    </xf>
    <xf numFmtId="0" fontId="46" fillId="0" borderId="22" xfId="0" applyFont="1" applyBorder="1">
      <alignment vertical="center"/>
    </xf>
    <xf numFmtId="0" fontId="46" fillId="0" borderId="22" xfId="0" applyFont="1" applyBorder="1">
      <alignment vertical="center"/>
    </xf>
    <xf numFmtId="0" fontId="22" fillId="0" borderId="17" xfId="0" applyFont="1" applyBorder="1">
      <alignment horizontal="left" vertical="center" wrapText="1" indent="1"/>
    </xf>
    <xf numFmtId="49" fontId="22" fillId="0" borderId="57" xfId="0" applyFont="1" applyBorder="1" applyNumberFormat="1">
      <alignment horizontal="center" vertical="center" wrapText="1"/>
    </xf>
    <xf numFmtId="49" fontId="22" fillId="0" borderId="28" xfId="0" applyFont="1" applyBorder="1" applyNumberFormat="1">
      <alignment horizontal="center" vertical="center" wrapText="1"/>
    </xf>
    <xf numFmtId="0" fontId="22" fillId="0" borderId="0" xfId="0" applyFont="1">
      <alignment vertical="center" wrapText="1"/>
    </xf>
    <xf numFmtId="0" fontId="31" fillId="0" borderId="0" xfId="0" applyFont="1">
      <alignment vertical="center" wrapText="1"/>
    </xf>
    <xf numFmtId="0" fontId="36" fillId="0" borderId="0" xfId="0" applyFont="1">
      <alignment horizontal="center" vertical="center" wrapText="1"/>
    </xf>
    <xf numFmtId="0" fontId="22" fillId="0" borderId="12" xfId="0" applyFont="1" applyBorder="1">
      <alignment horizontal="center" vertical="center" wrapText="1"/>
    </xf>
    <xf numFmtId="0" fontId="22" fillId="0" borderId="0" xfId="0" applyFont="1">
      <alignment vertical="center" wrapText="1"/>
    </xf>
    <xf numFmtId="0" fontId="47" fillId="0" borderId="0" xfId="0" applyFont="1">
      <alignment vertical="center" wrapText="1"/>
    </xf>
    <xf numFmtId="0" fontId="22" fillId="0" borderId="12" xfId="0" applyFont="1" applyBorder="1">
      <alignment horizontal="center" vertical="center" wrapText="1"/>
    </xf>
    <xf numFmtId="49" fontId="22" fillId="0" borderId="0" xfId="0" applyFont="1" applyNumberFormat="1">
      <alignment horizontal="center" vertical="center" wrapText="1"/>
    </xf>
    <xf numFmtId="0" fontId="22" fillId="0" borderId="12" xfId="0" applyFont="1" applyBorder="1">
      <alignment horizontal="center" vertical="center" wrapText="1"/>
    </xf>
    <xf numFmtId="0" fontId="54" fillId="0" borderId="0" xfId="0" applyFont="1">
      <alignment vertical="center"/>
    </xf>
    <xf numFmtId="0" fontId="72" fillId="0" borderId="0" xfId="0" applyFont="1">
      <alignment vertical="center" wrapText="1"/>
    </xf>
    <xf numFmtId="0" fontId="47" fillId="0" borderId="0" xfId="0" applyFont="1">
      <alignment vertical="center" wrapText="1"/>
    </xf>
    <xf numFmtId="0" fontId="22" fillId="0" borderId="13" xfId="0" applyFont="1" applyBorder="1">
      <alignment horizontal="center" vertical="center" wrapText="1"/>
    </xf>
    <xf numFmtId="0" fontId="22" fillId="0" borderId="17" xfId="0" applyFont="1" applyBorder="1">
      <alignment horizontal="center" vertical="center" wrapText="1"/>
    </xf>
    <xf numFmtId="0" fontId="22" fillId="0" borderId="15" xfId="0" applyFont="1" applyBorder="1">
      <alignment horizontal="right" vertical="center" wrapText="1" indent="1"/>
    </xf>
    <xf numFmtId="0" fontId="22" fillId="0" borderId="12" xfId="0" applyFont="1" applyBorder="1">
      <alignment horizontal="center" vertical="center" wrapText="1"/>
    </xf>
    <xf numFmtId="0" fontId="22" fillId="0" borderId="0" xfId="0" applyFont="1">
      <alignment horizontal="left" vertical="top" wrapText="1"/>
    </xf>
    <xf numFmtId="0" fontId="22" fillId="0" borderId="12" xfId="0" applyFont="1" applyBorder="1">
      <alignment horizontal="center" vertical="center" wrapText="1"/>
    </xf>
    <xf numFmtId="49" fontId="22" fillId="40" borderId="12" xfId="0" applyFont="1" applyFill="1" applyBorder="1" applyNumberFormat="1">
      <alignment horizontal="left" vertical="center" wrapText="1"/>
    </xf>
    <xf numFmtId="0" fontId="22" fillId="0" borderId="12" xfId="0" applyFont="1" applyBorder="1">
      <alignment horizontal="left" vertical="center" wrapText="1" indent="2"/>
    </xf>
    <xf numFmtId="0" fontId="47" fillId="0" borderId="17" xfId="0" applyFont="1" applyBorder="1">
      <alignment horizontal="center" vertical="center" wrapText="1"/>
    </xf>
    <xf numFmtId="0" fontId="22" fillId="34" borderId="14" xfId="0" applyFont="1" applyFill="1" applyBorder="1">
      <alignment horizontal="left" vertical="top" wrapText="1"/>
    </xf>
    <xf numFmtId="0" fontId="22" fillId="0" borderId="12" xfId="0" applyFont="1" applyBorder="1">
      <alignment horizontal="center" vertical="center" wrapText="1"/>
    </xf>
    <xf numFmtId="0" fontId="22" fillId="0" borderId="13" xfId="0" applyFont="1" applyBorder="1">
      <alignment horizontal="center" vertical="center" wrapText="1"/>
    </xf>
    <xf numFmtId="0" fontId="22" fillId="0" borderId="17" xfId="0" applyFont="1" applyBorder="1">
      <alignment horizontal="center" vertical="center" wrapText="1"/>
    </xf>
    <xf numFmtId="0" fontId="22" fillId="0" borderId="15" xfId="0" applyFont="1" applyBorder="1">
      <alignment horizontal="right" vertical="center" wrapText="1" indent="1"/>
    </xf>
    <xf numFmtId="0" fontId="22" fillId="0" borderId="12" xfId="0" applyFont="1" applyBorder="1">
      <alignment horizontal="center" vertical="center" wrapText="1"/>
    </xf>
    <xf numFmtId="0" fontId="22" fillId="0" borderId="12" xfId="0" applyFont="1" applyBorder="1">
      <alignment horizontal="center" vertical="center" wrapText="1"/>
    </xf>
    <xf numFmtId="0" fontId="22" fillId="34" borderId="14" xfId="0" applyFont="1" applyFill="1" applyBorder="1">
      <alignment horizontal="left" vertical="top" wrapText="1"/>
    </xf>
    <xf numFmtId="0" fontId="22" fillId="0" borderId="12" xfId="0" applyFont="1" applyBorder="1">
      <alignment horizontal="center" vertical="center" wrapText="1"/>
    </xf>
    <xf numFmtId="49" fontId="0" fillId="0" borderId="12" xfId="0" applyFont="1" applyBorder="1" applyNumberFormat="1">
      <alignment vertical="center" wrapText="1"/>
    </xf>
    <xf numFmtId="0" fontId="47" fillId="0" borderId="14" xfId="0" applyFont="1" applyBorder="1">
      <alignment vertical="center" wrapText="1"/>
    </xf>
    <xf numFmtId="0" fontId="47" fillId="0" borderId="14" xfId="0" applyFont="1" applyBorder="1">
      <alignment horizontal="left" vertical="top" wrapText="1"/>
    </xf>
    <xf numFmtId="49" fontId="22" fillId="0" borderId="58" xfId="0" applyFont="1" applyBorder="1" applyNumberFormat="1">
      <alignment horizontal="center" vertical="center" wrapText="1"/>
    </xf>
    <xf numFmtId="0" fontId="22" fillId="0" borderId="17" xfId="0" applyFont="1" applyBorder="1">
      <alignment horizontal="left" vertical="center" wrapText="1"/>
    </xf>
    <xf numFmtId="49" fontId="39" fillId="37" borderId="19" xfId="0" applyFont="1" applyFill="1" applyBorder="1" applyNumberFormat="1">
      <alignment horizontal="left" vertical="center" indent="2"/>
    </xf>
    <xf numFmtId="49" fontId="0" fillId="0" borderId="12" xfId="0" applyFont="1" applyBorder="1" applyNumberFormat="1">
      <alignment horizontal="left" vertical="center" wrapText="1" indent="1"/>
    </xf>
    <xf numFmtId="49" fontId="0" fillId="0" borderId="12" xfId="0" applyFont="1" applyBorder="1" applyNumberFormat="1">
      <alignment horizontal="left" vertical="center" wrapText="1" indent="2"/>
    </xf>
    <xf numFmtId="49" fontId="22" fillId="0" borderId="0" xfId="0" applyFont="1" applyNumberFormat="1">
      <alignment vertical="center" wrapText="1"/>
    </xf>
    <xf numFmtId="0" fontId="0" fillId="0" borderId="12" xfId="0" applyFont="1" applyBorder="1">
      <alignment horizontal="center" vertical="center" wrapText="1"/>
    </xf>
    <xf numFmtId="49" fontId="22" fillId="40" borderId="12" xfId="0" applyFont="1" applyFill="1" applyBorder="1" applyNumberFormat="1">
      <alignment horizontal="left" vertical="center" wrapText="1" indent="1"/>
    </xf>
    <xf numFmtId="0" fontId="0" fillId="0" borderId="12" xfId="0" applyFont="1" applyBorder="1">
      <alignment horizontal="left" vertical="center" wrapText="1" indent="1"/>
    </xf>
    <xf numFmtId="49" fontId="0" fillId="35" borderId="12" xfId="0" applyFont="1" applyFill="1" applyBorder="1" applyNumberFormat="1">
      <alignment horizontal="center" vertical="center" wrapText="1"/>
    </xf>
    <xf numFmtId="49" fontId="22" fillId="40" borderId="12" xfId="0" applyFont="1" applyFill="1" applyBorder="1" applyNumberFormat="1">
      <alignment horizontal="left" vertical="center" wrapText="1"/>
    </xf>
    <xf numFmtId="49" fontId="22" fillId="0" borderId="59" xfId="0" applyFont="1" applyBorder="1" applyNumberFormat="1">
      <alignment horizontal="center" vertical="center" wrapText="1"/>
    </xf>
    <xf numFmtId="4" fontId="22" fillId="39" borderId="17" xfId="0" applyFont="1" applyFill="1" applyBorder="1" applyNumberFormat="1">
      <alignment horizontal="right" vertical="center" wrapText="1"/>
      <protection locked="0"/>
    </xf>
    <xf numFmtId="49" fontId="39" fillId="0" borderId="19" xfId="0" applyFont="1" applyBorder="1" applyNumberFormat="1">
      <alignment horizontal="left" vertical="center"/>
    </xf>
    <xf numFmtId="49" fontId="39" fillId="0" borderId="19" xfId="0" applyFont="1" applyBorder="1" applyNumberFormat="1">
      <alignment horizontal="left" vertical="center" indent="2"/>
    </xf>
    <xf numFmtId="49" fontId="43" fillId="0" borderId="19" xfId="0" applyFont="1" applyBorder="1" applyNumberFormat="1">
      <alignment horizontal="center" vertical="top"/>
    </xf>
    <xf numFmtId="0" fontId="22" fillId="0" borderId="19" xfId="0" applyFont="1" applyBorder="1">
      <alignment horizontal="left" vertical="top" wrapText="1"/>
    </xf>
    <xf numFmtId="0" fontId="22" fillId="0" borderId="0" xfId="0" applyFont="1">
      <alignment horizontal="right" vertical="top" wrapText="1"/>
    </xf>
    <xf numFmtId="49" fontId="0" fillId="39" borderId="12" xfId="0" applyFont="1" applyFill="1" applyBorder="1" applyNumberFormat="1">
      <alignment horizontal="left" vertical="center" wrapText="1" indent="1"/>
      <protection locked="0"/>
    </xf>
    <xf numFmtId="49" fontId="46" fillId="0" borderId="0" xfId="0" applyFont="1" applyNumberFormat="1">
      <alignment vertical="top"/>
    </xf>
    <xf numFmtId="49" fontId="22" fillId="40" borderId="12" xfId="0" applyFont="1" applyFill="1" applyBorder="1" applyNumberFormat="1">
      <alignment horizontal="left" vertical="center" wrapText="1"/>
    </xf>
    <xf numFmtId="49" fontId="22" fillId="40" borderId="14" xfId="0" applyFont="1" applyFill="1" applyBorder="1" applyNumberFormat="1">
      <alignment horizontal="left" vertical="center" wrapText="1"/>
    </xf>
    <xf numFmtId="0" fontId="22" fillId="35" borderId="0" xfId="0" applyFont="1" applyFill="1"/>
    <xf numFmtId="0" fontId="22" fillId="0" borderId="0" xfId="0" applyFont="1">
      <alignment vertical="top" wrapText="1"/>
    </xf>
    <xf numFmtId="0" fontId="36" fillId="35" borderId="0" xfId="0" applyFont="1" applyFill="1">
      <alignment horizontal="center" vertical="center" wrapText="1"/>
    </xf>
    <xf numFmtId="0" fontId="0" fillId="35" borderId="23" xfId="0" applyFont="1" applyFill="1" applyBorder="1">
      <alignment vertical="center" wrapText="1"/>
    </xf>
    <xf numFmtId="49" fontId="0" fillId="0" borderId="0" xfId="0" applyFont="1" applyNumberFormat="1">
      <alignment vertical="top"/>
    </xf>
    <xf numFmtId="0" fontId="0" fillId="0" borderId="0" xfId="0" applyFont="1">
      <alignment vertical="top"/>
    </xf>
    <xf numFmtId="49" fontId="31" fillId="47" borderId="0" xfId="0" applyFont="1" applyFill="1" applyNumberFormat="1">
      <alignment horizontal="center" vertical="center"/>
    </xf>
    <xf numFmtId="0" fontId="0" fillId="48" borderId="0" xfId="0" applyFont="1" applyFill="1">
      <alignment horizontal="left" vertical="center"/>
    </xf>
    <xf numFmtId="49" fontId="0" fillId="0" borderId="0" xfId="0" applyFont="1" applyNumberFormat="1">
      <alignment vertical="center"/>
    </xf>
    <xf numFmtId="0" fontId="0" fillId="48" borderId="0" xfId="0" applyFont="1" applyFill="1">
      <alignment horizontal="right" vertical="center"/>
    </xf>
    <xf numFmtId="0" fontId="54" fillId="48" borderId="0" xfId="0" applyFont="1" applyFill="1">
      <alignment horizontal="left" vertical="center"/>
    </xf>
    <xf numFmtId="0" fontId="0" fillId="0" borderId="0" xfId="0" applyFont="1">
      <alignment horizontal="right" vertical="top"/>
    </xf>
    <xf numFmtId="0" fontId="0" fillId="48" borderId="10" xfId="0" applyFont="1" applyFill="1" applyBorder="1">
      <alignment horizontal="center"/>
    </xf>
    <xf numFmtId="0" fontId="0" fillId="0" borderId="10" xfId="0" applyFont="1" applyBorder="1">
      <alignment horizontal="center"/>
    </xf>
    <xf numFmtId="0" fontId="115" fillId="0" borderId="0" xfId="0" applyFont="1">
      <alignment wrapText="1"/>
    </xf>
    <xf numFmtId="49" fontId="66" fillId="0" borderId="0" xfId="0" applyFont="1" applyNumberFormat="1">
      <alignment wrapText="1"/>
    </xf>
    <xf numFmtId="49" fontId="66" fillId="0" borderId="0" xfId="0" applyFont="1" applyNumberFormat="1">
      <alignment vertical="center" wrapText="1"/>
    </xf>
    <xf numFmtId="49" fontId="116" fillId="0" borderId="0" xfId="0" applyFont="1" applyNumberFormat="1">
      <alignment wrapText="1"/>
    </xf>
    <xf numFmtId="0" fontId="29" fillId="0" borderId="0" xfId="0" applyFont="1"/>
    <xf numFmtId="0" fontId="102" fillId="0" borderId="0" xfId="0" applyFont="1">
      <alignment horizontal="left" vertical="center" wrapText="1"/>
    </xf>
    <xf numFmtId="49" fontId="117" fillId="0" borderId="0" xfId="0" applyFont="1" applyNumberFormat="1">
      <alignment wrapText="1"/>
    </xf>
    <xf numFmtId="0" fontId="45" fillId="0" borderId="0" xfId="0" applyFont="1">
      <alignment horizontal="left" vertical="top" wrapText="1"/>
    </xf>
    <xf numFmtId="49" fontId="22" fillId="0" borderId="0" xfId="0" applyFont="1" applyNumberFormat="1">
      <alignment vertical="top" wrapText="1"/>
    </xf>
    <xf numFmtId="0" fontId="66" fillId="0" borderId="0" xfId="0" applyFont="1">
      <alignment wrapText="1"/>
    </xf>
    <xf numFmtId="0" fontId="118" fillId="0" borderId="0" xfId="0" applyFont="1">
      <alignment horizontal="left" vertical="center" wrapText="1"/>
    </xf>
    <xf numFmtId="0" fontId="119" fillId="0" borderId="0" xfId="0" applyFont="1">
      <alignment vertical="center" wrapText="1"/>
    </xf>
    <xf numFmtId="0" fontId="66" fillId="0" borderId="38" xfId="0" applyFont="1" applyBorder="1">
      <alignment wrapText="1"/>
    </xf>
    <xf numFmtId="0" fontId="66" fillId="0" borderId="0" xfId="0" applyFont="1"/>
    <xf numFmtId="0" fontId="118" fillId="0" borderId="0" xfId="0" applyFont="1"/>
    <xf numFmtId="0" fontId="120" fillId="0" borderId="0" xfId="0" applyFont="1">
      <alignment wrapText="1"/>
    </xf>
    <xf numFmtId="0" fontId="0" fillId="36" borderId="60" xfId="0" applyFont="1" applyFill="1" applyBorder="1">
      <alignment horizontal="center" vertical="center" wrapText="1"/>
    </xf>
    <xf numFmtId="0" fontId="0" fillId="53" borderId="60" xfId="0" applyFont="1" applyFill="1" applyBorder="1">
      <alignment horizontal="center" vertical="center" wrapText="1"/>
    </xf>
    <xf numFmtId="0" fontId="0" fillId="34" borderId="60" xfId="0" applyFont="1" applyFill="1" applyBorder="1">
      <alignment horizontal="center" vertical="center" wrapText="1"/>
    </xf>
    <xf numFmtId="0" fontId="0" fillId="39" borderId="60" xfId="0" applyFont="1" applyFill="1" applyBorder="1">
      <alignment horizontal="center" vertical="center" wrapText="1"/>
    </xf>
    <xf numFmtId="0" fontId="118" fillId="0" borderId="38" xfId="0" applyFont="1" applyBorder="1">
      <alignment horizontal="left" vertical="center" wrapText="1"/>
    </xf>
    <xf numFmtId="0" fontId="118" fillId="0" borderId="61" xfId="0" applyFont="1" applyBorder="1">
      <alignment horizontal="left" vertical="center" wrapText="1"/>
    </xf>
    <xf numFmtId="0" fontId="120" fillId="0" borderId="0" xfId="0" applyFont="1"/>
    <xf numFmtId="0" fontId="120" fillId="0" borderId="38" xfId="0" applyFont="1" applyBorder="1">
      <alignment wrapText="1"/>
    </xf>
    <xf numFmtId="0" fontId="66" fillId="0" borderId="62" xfId="0" applyFont="1" applyBorder="1">
      <alignment wrapText="1"/>
    </xf>
    <xf numFmtId="0" fontId="66" fillId="0" borderId="39" xfId="0" applyFont="1" applyBorder="1">
      <alignment wrapText="1"/>
    </xf>
    <xf numFmtId="0" fontId="66" fillId="0" borderId="39" xfId="0" applyFont="1" applyBorder="1">
      <alignment vertical="center" wrapText="1"/>
    </xf>
    <xf numFmtId="0" fontId="116" fillId="0" borderId="0" xfId="0" applyFont="1"/>
    <xf numFmtId="0" fontId="35" fillId="0" borderId="24" xfId="0" applyFont="1" applyBorder="1">
      <alignment horizontal="center" vertical="center" wrapText="1"/>
    </xf>
    <xf numFmtId="49" fontId="22" fillId="0" borderId="13" xfId="0" applyFont="1" applyBorder="1" applyNumberFormat="1">
      <alignment horizontal="center" vertical="center" wrapText="1"/>
    </xf>
    <xf numFmtId="49" fontId="121" fillId="0" borderId="0" xfId="0" applyFont="1" applyNumberFormat="1">
      <alignment horizontal="center" vertical="center" wrapText="1"/>
    </xf>
    <xf numFmtId="49" fontId="22" fillId="48" borderId="0" xfId="0" applyFont="1" applyFill="1" applyNumberFormat="1">
      <alignment horizontal="center" vertical="center"/>
    </xf>
    <xf numFmtId="179" fontId="0" fillId="39" borderId="12" xfId="0" applyFont="1" applyFill="1" applyBorder="1" applyNumberFormat="1">
      <alignment horizontal="left" vertical="center" wrapText="1" indent="1"/>
      <protection locked="0"/>
    </xf>
    <xf numFmtId="179" fontId="0" fillId="0" borderId="12" xfId="0" applyFont="1" applyBorder="1" applyNumberFormat="1">
      <alignment horizontal="left" vertical="center" wrapText="1" indent="1"/>
    </xf>
    <xf numFmtId="179" fontId="0" fillId="39" borderId="12" xfId="0" applyFont="1" applyFill="1" applyBorder="1" applyNumberFormat="1">
      <alignment horizontal="center" vertical="center" wrapText="1"/>
      <protection locked="0"/>
    </xf>
    <xf numFmtId="179" fontId="47" fillId="0" borderId="0" xfId="0" applyFont="1" applyNumberFormat="1">
      <alignment horizontal="center" vertical="center" wrapText="1"/>
    </xf>
    <xf numFmtId="179" fontId="47" fillId="0" borderId="12" xfId="0" applyFont="1" applyBorder="1" applyNumberFormat="1">
      <alignment horizontal="center" vertical="center" wrapText="1"/>
    </xf>
    <xf numFmtId="179" fontId="0" fillId="39" borderId="12" xfId="0" applyFont="1" applyFill="1" applyBorder="1" applyNumberFormat="1">
      <alignment horizontal="left" vertical="center" wrapText="1"/>
      <protection locked="0"/>
    </xf>
    <xf numFmtId="179" fontId="0" fillId="36" borderId="12" xfId="0" applyFont="1" applyFill="1" applyBorder="1" applyNumberFormat="1">
      <alignment horizontal="left" vertical="center" wrapText="1" indent="1"/>
      <protection locked="0"/>
    </xf>
    <xf numFmtId="179" fontId="0" fillId="39" borderId="13" xfId="0" applyFont="1" applyFill="1" applyBorder="1" applyNumberFormat="1">
      <alignment horizontal="left" vertical="center" wrapText="1"/>
      <protection locked="0"/>
    </xf>
    <xf numFmtId="0" fontId="22" fillId="0" borderId="0" xfId="0" applyFont="1">
      <alignment horizontal="left" vertical="top" indent="1"/>
    </xf>
    <xf numFmtId="0" fontId="22" fillId="34" borderId="30" xfId="0" applyFont="1" applyFill="1" applyBorder="1">
      <alignment horizontal="center" vertical="top"/>
    </xf>
    <xf numFmtId="0" fontId="0" fillId="0" borderId="34" xfId="0" applyFont="1" applyBorder="1">
      <alignment horizontal="center" vertical="center"/>
    </xf>
    <xf numFmtId="0" fontId="0" fillId="0" borderId="33" xfId="0" applyFont="1" applyBorder="1">
      <alignment horizontal="center" vertical="center"/>
    </xf>
    <xf numFmtId="0" fontId="22" fillId="34" borderId="30" xfId="0" applyFont="1" applyFill="1" applyBorder="1">
      <alignment horizontal="left" vertical="top"/>
    </xf>
    <xf numFmtId="0" fontId="22" fillId="0" borderId="12" xfId="0" applyFont="1" applyBorder="1">
      <alignment horizontal="left" vertical="top"/>
    </xf>
    <xf numFmtId="49" fontId="22" fillId="0" borderId="0" xfId="0" applyFont="1" applyNumberFormat="1">
      <alignment horizontal="left" vertical="top"/>
    </xf>
    <xf numFmtId="0" fontId="0" fillId="34" borderId="36" xfId="0" applyFont="1" applyFill="1" applyBorder="1">
      <alignment horizontal="left" vertical="top" wrapText="1" indent="1"/>
    </xf>
    <xf numFmtId="49" fontId="22" fillId="40" borderId="36" xfId="0" applyFont="1" applyFill="1" applyBorder="1" applyNumberFormat="1">
      <alignment horizontal="center" vertical="top" wrapText="1"/>
    </xf>
    <xf numFmtId="49" fontId="0" fillId="39" borderId="36" xfId="0" applyFont="1" applyFill="1" applyBorder="1" applyNumberFormat="1">
      <alignment horizontal="center" vertical="top" wrapText="1"/>
      <protection locked="0"/>
    </xf>
    <xf numFmtId="49" fontId="0" fillId="36" borderId="36" xfId="0" applyFont="1" applyFill="1" applyBorder="1" applyNumberFormat="1">
      <alignment horizontal="center" vertical="top" wrapText="1"/>
      <protection locked="0"/>
    </xf>
    <xf numFmtId="49" fontId="22" fillId="40" borderId="36" xfId="0" applyFont="1" applyFill="1" applyBorder="1" applyNumberFormat="1">
      <alignment horizontal="left" vertical="top" wrapText="1"/>
    </xf>
    <xf numFmtId="49" fontId="22" fillId="39" borderId="36" xfId="0" applyFont="1" applyFill="1" applyBorder="1" applyNumberFormat="1">
      <alignment horizontal="left" vertical="top" wrapText="1"/>
      <protection locked="0"/>
    </xf>
    <xf numFmtId="49" fontId="0" fillId="34" borderId="36" xfId="0" applyFont="1" applyFill="1" applyBorder="1" applyNumberFormat="1">
      <alignment horizontal="center" vertical="top" wrapText="1"/>
    </xf>
    <xf numFmtId="0" fontId="22" fillId="34" borderId="36" xfId="0" applyFont="1" applyFill="1" applyBorder="1">
      <alignment horizontal="center" vertical="top" wrapText="1"/>
    </xf>
    <xf numFmtId="0" fontId="22" fillId="36" borderId="36" xfId="0" applyFont="1" applyFill="1" applyBorder="1">
      <alignment horizontal="left" vertical="top" wrapText="1"/>
      <protection locked="0"/>
    </xf>
    <xf numFmtId="0" fontId="39" fillId="0" borderId="36" xfId="0" applyFont="1" applyBorder="1">
      <alignment horizontal="left" vertical="center"/>
    </xf>
    <xf numFmtId="0" fontId="39" fillId="36" borderId="36" xfId="0" applyFont="1" applyFill="1" applyBorder="1">
      <alignment horizontal="left" vertical="center"/>
      <protection locked="0"/>
    </xf>
    <xf numFmtId="0" fontId="39" fillId="39" borderId="36" xfId="0" applyFont="1" applyFill="1" applyBorder="1">
      <alignment horizontal="left" vertical="center"/>
      <protection locked="0"/>
    </xf>
    <xf numFmtId="14" fontId="22" fillId="40" borderId="36" xfId="0" applyFont="1" applyFill="1" applyBorder="1" applyNumberFormat="1">
      <alignment horizontal="left" vertical="center" wrapText="1" indent="1"/>
    </xf>
    <xf numFmtId="49" fontId="22" fillId="40" borderId="0" xfId="0" applyFont="1" applyFill="1" applyNumberFormat="1">
      <alignment horizontal="center" vertical="center" wrapText="1"/>
    </xf>
    <xf numFmtId="0" fontId="22" fillId="0" borderId="12" xfId="0" applyFont="1" applyBorder="1">
      <alignment horizontal="center" vertical="center" wrapText="1"/>
    </xf>
    <xf numFmtId="0" fontId="0" fillId="35" borderId="12" xfId="0" applyFont="1" applyFill="1" applyBorder="1">
      <alignment vertical="top" wrapText="1"/>
    </xf>
    <xf numFmtId="0" fontId="46" fillId="0" borderId="12" xfId="0" applyFont="1" applyBorder="1">
      <alignment vertical="top" wrapText="1"/>
    </xf>
    <xf numFmtId="49" fontId="22" fillId="40" borderId="17" xfId="0" applyFont="1" applyFill="1" applyBorder="1" applyNumberFormat="1">
      <alignment vertical="center" wrapText="1"/>
    </xf>
    <xf numFmtId="49" fontId="22" fillId="40" borderId="36" xfId="0" applyFont="1" applyFill="1" applyBorder="1" applyNumberFormat="1">
      <alignment vertical="center" wrapText="1"/>
    </xf>
    <xf numFmtId="49" fontId="22" fillId="40" borderId="23" xfId="0" applyFont="1" applyFill="1" applyBorder="1" applyNumberFormat="1">
      <alignment vertical="center" wrapText="1"/>
    </xf>
    <xf numFmtId="0" fontId="0" fillId="39" borderId="12" xfId="0" applyFont="1" applyFill="1" applyBorder="1">
      <alignment horizontal="left" vertical="center" wrapText="1" indent="1"/>
      <protection locked="0"/>
    </xf>
    <xf numFmtId="0" fontId="0" fillId="0" borderId="13" xfId="0" applyFont="1" applyBorder="1">
      <alignment horizontal="center" vertical="center" wrapText="1"/>
    </xf>
    <xf numFmtId="0" fontId="22" fillId="0" borderId="12" xfId="0" applyFont="1" applyBorder="1">
      <alignment horizontal="left" vertical="center" wrapText="1"/>
    </xf>
    <xf numFmtId="0" fontId="0" fillId="0" borderId="12" xfId="0" applyFont="1" applyBorder="1">
      <alignment horizontal="center" vertical="center" wrapText="1"/>
    </xf>
    <xf numFmtId="0" fontId="0" fillId="0" borderId="13" xfId="0" applyFont="1" applyBorder="1">
      <alignment horizontal="center" vertical="center" wrapText="1"/>
    </xf>
    <xf numFmtId="49" fontId="22" fillId="0" borderId="0" xfId="0" applyFont="1" applyNumberFormat="1">
      <alignment horizontal="left" vertical="center" indent="1"/>
    </xf>
    <xf numFmtId="179" fontId="0" fillId="39" borderId="14" xfId="0" applyFont="1" applyFill="1" applyBorder="1" applyNumberFormat="1">
      <alignment horizontal="left" vertical="center" wrapText="1"/>
      <protection locked="0"/>
    </xf>
    <xf numFmtId="179" fontId="0" fillId="0" borderId="11" xfId="0" applyFont="1" applyBorder="1" applyNumberFormat="1">
      <alignment horizontal="left" vertical="center" wrapText="1" indent="1"/>
    </xf>
    <xf numFmtId="49" fontId="22" fillId="35" borderId="26" xfId="0" applyFont="1" applyFill="1" applyBorder="1" applyNumberFormat="1">
      <alignment horizontal="right" vertical="center" wrapText="1" indent="1"/>
    </xf>
    <xf numFmtId="49" fontId="46" fillId="0" borderId="0" xfId="0" applyFont="1" applyNumberFormat="1">
      <alignment vertical="center" wrapText="1"/>
    </xf>
    <xf numFmtId="49" fontId="0" fillId="36" borderId="12" xfId="0" applyFont="1" applyFill="1" applyBorder="1" applyNumberFormat="1">
      <alignment horizontal="left" vertical="center" wrapText="1"/>
      <protection locked="0"/>
    </xf>
    <xf numFmtId="4" fontId="0" fillId="39" borderId="12" xfId="0" applyFont="1" applyFill="1" applyBorder="1" applyNumberFormat="1">
      <alignment horizontal="right" vertical="center" wrapText="1"/>
      <protection locked="0"/>
    </xf>
    <xf numFmtId="49" fontId="22" fillId="0" borderId="0" xfId="0" applyFont="1" applyNumberFormat="1">
      <alignment vertical="top" wrapText="1"/>
    </xf>
    <xf numFmtId="49" fontId="22" fillId="0" borderId="0" xfId="0" applyFont="1" applyNumberFormat="1">
      <alignment vertical="top"/>
    </xf>
    <xf numFmtId="49" fontId="22" fillId="0" borderId="0" xfId="0" applyFont="1" applyNumberFormat="1">
      <alignment vertical="top"/>
    </xf>
    <xf numFmtId="49" fontId="22" fillId="0" borderId="12" xfId="0" applyFont="1" applyBorder="1" applyNumberFormat="1">
      <alignment horizontal="center" vertical="center" wrapText="1"/>
    </xf>
    <xf numFmtId="49" fontId="22" fillId="0" borderId="19" xfId="0" applyFont="1" applyBorder="1" applyNumberFormat="1">
      <alignment horizontal="center" vertical="center" wrapText="1"/>
    </xf>
    <xf numFmtId="0" fontId="22" fillId="40" borderId="36" xfId="0" applyFont="1" applyFill="1" applyBorder="1">
      <alignment horizontal="center" vertical="top" wrapText="1"/>
    </xf>
    <xf numFmtId="49" fontId="22" fillId="0" borderId="19" xfId="0" applyFont="1" applyBorder="1" applyNumberFormat="1">
      <alignment horizontal="left" vertical="center" wrapText="1"/>
    </xf>
    <xf numFmtId="49" fontId="22" fillId="0" borderId="0" xfId="0" applyFont="1" applyNumberFormat="1">
      <alignment horizontal="center" vertical="center" wrapText="1"/>
    </xf>
    <xf numFmtId="49" fontId="22" fillId="40" borderId="36" xfId="0" applyFont="1" applyFill="1" applyBorder="1" applyNumberFormat="1">
      <alignment horizontal="center" vertical="center" wrapText="1"/>
    </xf>
    <xf numFmtId="0" fontId="39" fillId="0" borderId="0" xfId="0" applyFont="1">
      <alignment horizontal="left" vertical="center"/>
    </xf>
    <xf numFmtId="49" fontId="22" fillId="0" borderId="19" xfId="0" applyFont="1" applyBorder="1" applyNumberFormat="1">
      <alignment horizontal="left" vertical="center" wrapText="1"/>
    </xf>
    <xf numFmtId="49" fontId="22" fillId="0" borderId="0" xfId="0" applyFont="1" applyNumberFormat="1">
      <alignment horizontal="left" vertical="center" wrapText="1"/>
    </xf>
    <xf numFmtId="49" fontId="22" fillId="35" borderId="0" xfId="0" applyFont="1" applyFill="1" applyNumberFormat="1">
      <alignment horizontal="center" vertical="center" wrapText="1"/>
    </xf>
    <xf numFmtId="0" fontId="22" fillId="0" borderId="12" xfId="0" applyFont="1" applyBorder="1">
      <alignment horizontal="center" vertical="center" wrapText="1"/>
    </xf>
    <xf numFmtId="0" fontId="47" fillId="0" borderId="0" xfId="0" applyFont="1">
      <alignment horizontal="center" vertical="center" wrapText="1"/>
    </xf>
    <xf numFmtId="0" fontId="44" fillId="0" borderId="12" xfId="0" applyFont="1" applyBorder="1">
      <alignment horizontal="center" vertical="center"/>
    </xf>
    <xf numFmtId="49" fontId="0" fillId="39" borderId="12" xfId="0" applyFont="1" applyFill="1" applyBorder="1" applyNumberFormat="1">
      <alignment horizontal="left" vertical="center" wrapText="1"/>
      <protection locked="0"/>
    </xf>
    <xf numFmtId="0" fontId="46" fillId="0" borderId="0" xfId="0" applyFont="1">
      <alignment horizontal="center" vertical="top"/>
    </xf>
    <xf numFmtId="49" fontId="22" fillId="0" borderId="36" xfId="0" applyFont="1" applyBorder="1" applyNumberFormat="1">
      <alignment horizontal="center" vertical="top" wrapText="1"/>
    </xf>
    <xf numFmtId="0" fontId="22" fillId="0" borderId="12" xfId="0" applyFont="1" applyBorder="1">
      <alignment horizontal="left" vertical="center" wrapText="1"/>
    </xf>
    <xf numFmtId="0" fontId="35" fillId="0" borderId="12" xfId="0" applyFont="1" applyBorder="1">
      <alignment horizontal="center" vertical="center" wrapText="1"/>
    </xf>
    <xf numFmtId="49" fontId="39" fillId="37" borderId="51" xfId="0" applyFont="1" applyFill="1" applyBorder="1" applyNumberFormat="1">
      <alignment horizontal="left" vertical="center" indent="1"/>
    </xf>
    <xf numFmtId="49" fontId="22" fillId="36" borderId="12" xfId="0" applyFont="1" applyFill="1" applyBorder="1" applyNumberFormat="1">
      <alignment horizontal="left" vertical="center" wrapText="1"/>
      <protection locked="0"/>
    </xf>
    <xf numFmtId="49" fontId="47" fillId="0" borderId="12" xfId="0" applyFont="1" applyBorder="1" applyNumberFormat="1">
      <alignment horizontal="center" vertical="center" wrapText="1"/>
    </xf>
    <xf numFmtId="179" fontId="0" fillId="39" borderId="12" xfId="0" applyFont="1" applyFill="1" applyBorder="1" applyNumberFormat="1">
      <alignment horizontal="center" vertical="center" wrapText="1"/>
      <protection locked="0"/>
    </xf>
    <xf numFmtId="49" fontId="0" fillId="39" borderId="12" xfId="0" applyFont="1" applyFill="1" applyBorder="1" applyNumberFormat="1">
      <alignment horizontal="center" vertical="center" wrapText="1"/>
      <protection locked="0"/>
    </xf>
    <xf numFmtId="0" fontId="22" fillId="0" borderId="12" xfId="0" applyFont="1" applyBorder="1">
      <alignment horizontal="center" vertical="center" wrapText="1"/>
    </xf>
    <xf numFmtId="0" fontId="46" fillId="0" borderId="0" xfId="0" applyFont="1">
      <alignment horizontal="center" vertical="center" wrapText="1"/>
    </xf>
    <xf numFmtId="0" fontId="0" fillId="0" borderId="12" xfId="0" applyFont="1" applyBorder="1">
      <alignment horizontal="left" vertical="center" wrapText="1"/>
    </xf>
    <xf numFmtId="0" fontId="22" fillId="0" borderId="36" xfId="0" applyFont="1" applyBorder="1">
      <alignment horizontal="center" vertical="center" wrapText="1"/>
    </xf>
    <xf numFmtId="0" fontId="22" fillId="35" borderId="14" xfId="0" applyFont="1" applyFill="1" applyBorder="1">
      <alignment horizontal="center" vertical="center" wrapText="1"/>
    </xf>
    <xf numFmtId="49" fontId="0" fillId="35" borderId="12" xfId="0" applyFont="1" applyFill="1" applyBorder="1" applyNumberFormat="1">
      <alignment horizontal="center" vertical="center" wrapText="1"/>
    </xf>
    <xf numFmtId="49" fontId="22" fillId="0" borderId="12" xfId="0" applyFont="1" applyBorder="1" applyNumberFormat="1">
      <alignment horizontal="center" vertical="center" wrapText="1"/>
    </xf>
    <xf numFmtId="49" fontId="22" fillId="40" borderId="14" xfId="0" applyFont="1" applyFill="1" applyBorder="1" applyNumberFormat="1">
      <alignment horizontal="left" vertical="center" wrapText="1"/>
    </xf>
    <xf numFmtId="0" fontId="22" fillId="0" borderId="23" xfId="0" applyFont="1" applyBorder="1">
      <alignment horizontal="center" vertical="center" wrapText="1"/>
    </xf>
    <xf numFmtId="0" fontId="44" fillId="0" borderId="13" xfId="0" applyFont="1" applyBorder="1">
      <alignment horizontal="center" vertical="center"/>
    </xf>
    <xf numFmtId="49" fontId="0" fillId="38" borderId="0" xfId="0" applyFont="1" applyFill="1" applyNumberFormat="1">
      <alignment vertical="top"/>
    </xf>
    <xf numFmtId="0" fontId="36" fillId="35" borderId="0" xfId="0" applyFont="1" applyFill="1">
      <alignment horizontal="center" vertical="center" wrapText="1"/>
    </xf>
    <xf numFmtId="0" fontId="36" fillId="35" borderId="0" xfId="0" applyFont="1" applyFill="1">
      <alignment horizontal="center"/>
    </xf>
    <xf numFmtId="0" fontId="36" fillId="0" borderId="0" xfId="0" applyFont="1">
      <alignment horizontal="center" vertical="center" wrapText="1"/>
    </xf>
    <xf numFmtId="0" fontId="41" fillId="0" borderId="0" xfId="0" applyFont="1">
      <alignment vertical="center" wrapText="1"/>
    </xf>
    <xf numFmtId="0" fontId="0" fillId="0" borderId="0" xfId="0" applyFont="1">
      <alignment vertical="center"/>
    </xf>
    <xf numFmtId="49" fontId="0" fillId="0" borderId="12" xfId="0" applyFont="1" applyBorder="1" applyNumberFormat="1">
      <alignment vertical="top"/>
    </xf>
    <xf numFmtId="49" fontId="0" fillId="0" borderId="12" xfId="0" applyFont="1" applyBorder="1" applyNumberFormat="1">
      <alignment vertical="top"/>
    </xf>
    <xf numFmtId="49" fontId="22" fillId="0" borderId="0" xfId="0" applyFont="1" applyNumberFormat="1">
      <alignment vertical="top"/>
    </xf>
    <xf numFmtId="0" fontId="36" fillId="35" borderId="0" xfId="0" applyFont="1" applyFill="1">
      <alignment vertical="top" wrapText="1"/>
    </xf>
    <xf numFmtId="49" fontId="122" fillId="39" borderId="12" xfId="0" applyFont="1" applyFill="1" applyBorder="1" applyNumberFormat="1">
      <alignment horizontal="left" vertical="center" wrapText="1"/>
      <protection locked="0"/>
    </xf>
    <xf numFmtId="49" fontId="36" fillId="0" borderId="0" xfId="0" applyFont="1" applyNumberFormat="1">
      <alignment horizontal="center" vertical="center" wrapText="1"/>
    </xf>
    <xf numFmtId="0" fontId="36" fillId="0" borderId="24" xfId="0" applyFont="1" applyBorder="1">
      <alignment horizontal="center" vertical="center" wrapText="1"/>
    </xf>
    <xf numFmtId="49" fontId="123" fillId="0" borderId="0" xfId="0" applyFont="1" applyNumberFormat="1">
      <alignment horizontal="center" vertical="top" wrapText="1"/>
    </xf>
    <xf numFmtId="49" fontId="0" fillId="34" borderId="36" xfId="0" applyFont="1" applyFill="1" applyBorder="1" applyNumberFormat="1">
      <alignment vertical="top"/>
    </xf>
    <xf numFmtId="49" fontId="0" fillId="0" borderId="36" xfId="0" applyFont="1" applyBorder="1" applyNumberFormat="1">
      <alignment vertical="top"/>
    </xf>
    <xf numFmtId="49" fontId="0" fillId="39" borderId="36" xfId="0" applyFont="1" applyFill="1" applyBorder="1" applyNumberFormat="1">
      <alignment vertical="top"/>
      <protection locked="0"/>
    </xf>
    <xf numFmtId="49" fontId="0" fillId="39" borderId="17" xfId="0" applyFont="1" applyFill="1" applyBorder="1" applyNumberFormat="1">
      <alignment vertical="top"/>
      <protection locked="0"/>
    </xf>
    <xf numFmtId="49" fontId="0" fillId="39" borderId="23" xfId="0" applyFont="1" applyFill="1" applyBorder="1" applyNumberFormat="1">
      <alignment vertical="top"/>
      <protection locked="0"/>
    </xf>
    <xf numFmtId="49" fontId="123" fillId="0" borderId="36" xfId="0" applyFont="1" applyBorder="1" applyNumberFormat="1">
      <alignment horizontal="center" vertical="top" wrapText="1"/>
    </xf>
    <xf numFmtId="49" fontId="0" fillId="0" borderId="0" xfId="0" applyFont="1" applyNumberFormat="1">
      <alignment vertical="top"/>
    </xf>
    <xf numFmtId="49" fontId="0" fillId="0" borderId="19" xfId="0" applyFont="1" applyBorder="1" applyNumberFormat="1">
      <alignment vertical="top"/>
    </xf>
    <xf numFmtId="49" fontId="0" fillId="0" borderId="22" xfId="0" applyFont="1" applyBorder="1" applyNumberFormat="1">
      <alignment vertical="top"/>
    </xf>
    <xf numFmtId="49" fontId="0" fillId="0" borderId="24" xfId="0" applyFont="1" applyBorder="1" applyNumberFormat="1">
      <alignment vertical="top"/>
    </xf>
    <xf numFmtId="49" fontId="0" fillId="0" borderId="0" xfId="0" applyFont="1" applyNumberFormat="1">
      <alignment horizontal="left" vertical="top"/>
    </xf>
    <xf numFmtId="49" fontId="0" fillId="0" borderId="0" xfId="0" applyFont="1" applyNumberFormat="1">
      <alignment vertical="center"/>
    </xf>
    <xf numFmtId="0" fontId="0" fillId="0" borderId="0" xfId="0" applyFont="1">
      <alignment vertical="center"/>
    </xf>
    <xf numFmtId="0" fontId="36" fillId="0" borderId="0" xfId="0" applyFont="1">
      <alignment horizontal="center" vertical="center" wrapText="1"/>
    </xf>
    <xf numFmtId="49" fontId="0" fillId="39" borderId="12" xfId="0" applyFont="1" applyFill="1" applyBorder="1" applyNumberFormat="1">
      <alignment horizontal="left" vertical="center" wrapText="1"/>
      <protection locked="0"/>
    </xf>
    <xf numFmtId="0" fontId="0" fillId="0" borderId="0" xfId="0" applyFont="1">
      <alignment horizontal="left" vertical="center" indent="1"/>
    </xf>
    <xf numFmtId="0" fontId="0" fillId="0" borderId="0" xfId="0" applyFont="1">
      <alignment vertical="center"/>
    </xf>
    <xf numFmtId="0" fontId="0" fillId="37" borderId="15" xfId="0" applyFont="1" applyFill="1" applyBorder="1">
      <alignment vertical="center"/>
    </xf>
    <xf numFmtId="49" fontId="0" fillId="0" borderId="36" xfId="0" applyFont="1" applyBorder="1" applyNumberFormat="1">
      <alignment horizontal="left" vertical="top"/>
    </xf>
    <xf numFmtId="49" fontId="0" fillId="40" borderId="36" xfId="0" applyFont="1" applyFill="1" applyBorder="1" applyNumberFormat="1">
      <alignment horizontal="left" vertical="top"/>
    </xf>
    <xf numFmtId="49" fontId="0" fillId="36" borderId="36" xfId="0" applyFont="1" applyFill="1" applyBorder="1" applyNumberFormat="1">
      <alignment horizontal="left" vertical="top"/>
      <protection locked="0"/>
    </xf>
    <xf numFmtId="49" fontId="0" fillId="0" borderId="0" xfId="0" applyFont="1" applyNumberFormat="1">
      <alignment vertical="top"/>
    </xf>
    <xf numFmtId="49" fontId="0" fillId="36" borderId="36" xfId="0" applyFont="1" applyFill="1" applyBorder="1" applyNumberFormat="1">
      <alignment vertical="top"/>
      <protection locked="0"/>
    </xf>
    <xf numFmtId="49" fontId="0" fillId="0" borderId="19" xfId="0" applyFont="1" applyBorder="1" applyNumberFormat="1">
      <alignment horizontal="left" vertical="center" wrapText="1"/>
    </xf>
    <xf numFmtId="0" fontId="0" fillId="0" borderId="0" xfId="0" applyFont="1">
      <alignment vertical="center"/>
    </xf>
    <xf numFmtId="0" fontId="0" fillId="0" borderId="27" xfId="0" applyFont="1" applyBorder="1">
      <alignment vertical="center"/>
    </xf>
    <xf numFmtId="49" fontId="36" fillId="0" borderId="36" xfId="0" applyFont="1" applyBorder="1" applyNumberFormat="1">
      <alignment vertical="center" wrapText="1"/>
    </xf>
    <xf numFmtId="49" fontId="36" fillId="0" borderId="36" xfId="0" applyFont="1" applyBorder="1" applyNumberFormat="1">
      <alignment horizontal="center" vertical="center" wrapText="1"/>
    </xf>
    <xf numFmtId="49" fontId="36" fillId="0" borderId="19" xfId="0" applyFont="1" applyBorder="1" applyNumberFormat="1">
      <alignment vertical="center" wrapText="1"/>
    </xf>
    <xf numFmtId="49" fontId="36" fillId="0" borderId="0" xfId="0" applyFont="1" applyNumberFormat="1">
      <alignment vertical="center" wrapText="1"/>
    </xf>
    <xf numFmtId="49" fontId="36" fillId="0" borderId="0" xfId="0" applyFont="1" applyNumberFormat="1">
      <alignment horizontal="center" vertical="center" wrapText="1"/>
    </xf>
    <xf numFmtId="0" fontId="22" fillId="35" borderId="23" xfId="0" applyFont="1" applyFill="1" applyBorder="1">
      <alignment horizontal="center" vertical="center" wrapText="1"/>
    </xf>
    <xf numFmtId="0" fontId="22" fillId="0" borderId="36" xfId="0" applyFont="1" applyBorder="1">
      <alignment horizontal="left" vertical="top" wrapText="1"/>
    </xf>
    <xf numFmtId="0" fontId="0" fillId="0" borderId="13" xfId="0" applyFont="1" applyBorder="1">
      <alignment horizontal="center" vertical="center" wrapText="1"/>
    </xf>
    <xf numFmtId="4" fontId="0" fillId="39" borderId="13" xfId="0" applyFont="1" applyFill="1" applyBorder="1" applyNumberFormat="1">
      <alignment horizontal="right" vertical="center" wrapText="1"/>
      <protection locked="0"/>
    </xf>
    <xf numFmtId="0" fontId="0" fillId="0" borderId="13" xfId="0" applyFont="1" applyBorder="1">
      <alignment horizontal="center" vertical="center" wrapText="1"/>
    </xf>
    <xf numFmtId="0" fontId="22" fillId="40" borderId="12" xfId="0" applyFont="1" applyFill="1" applyBorder="1">
      <alignment horizontal="left" vertical="center" wrapText="1"/>
    </xf>
    <xf numFmtId="49" fontId="0" fillId="35" borderId="17" xfId="0" applyFont="1" applyFill="1" applyBorder="1" applyNumberFormat="1">
      <alignment horizontal="center" vertical="center" wrapText="1"/>
    </xf>
    <xf numFmtId="0" fontId="0" fillId="0" borderId="23" xfId="0" applyFont="1" applyBorder="1">
      <alignment horizontal="center" vertical="center" wrapText="1"/>
    </xf>
    <xf numFmtId="0" fontId="22" fillId="40" borderId="14" xfId="0" applyFont="1" applyFill="1" applyBorder="1">
      <alignment horizontal="left" vertical="center" wrapText="1"/>
    </xf>
    <xf numFmtId="49" fontId="0" fillId="0" borderId="12" xfId="0" applyFont="1" applyBorder="1" applyNumberFormat="1">
      <alignment horizontal="center" vertical="center" wrapText="1"/>
    </xf>
    <xf numFmtId="49" fontId="44" fillId="54" borderId="0" xfId="0" applyFont="1" applyFill="1" applyNumberFormat="1">
      <alignment vertical="center" wrapText="1"/>
    </xf>
    <xf numFmtId="0" fontId="46" fillId="0" borderId="0" xfId="0" applyFont="1">
      <alignment vertical="top" wrapText="1"/>
    </xf>
    <xf numFmtId="49" fontId="31" fillId="0" borderId="0" xfId="0" applyFont="1" applyNumberFormat="1">
      <alignment horizontal="center" vertical="top" wrapText="1"/>
    </xf>
    <xf numFmtId="49" fontId="22" fillId="0" borderId="0" xfId="0" applyFont="1" applyNumberFormat="1">
      <alignment horizontal="center" vertical="top" wrapText="1"/>
    </xf>
    <xf numFmtId="49" fontId="22" fillId="35" borderId="0" xfId="0" applyFont="1" applyFill="1" applyNumberFormat="1">
      <alignment horizontal="center" vertical="top" wrapText="1"/>
    </xf>
    <xf numFmtId="0" fontId="0" fillId="0" borderId="36" xfId="0" applyFont="1" applyBorder="1">
      <alignment horizontal="center" vertical="center" wrapText="1"/>
    </xf>
    <xf numFmtId="0" fontId="22" fillId="0" borderId="13" xfId="0" applyFont="1" applyBorder="1">
      <alignment horizontal="center" vertical="center" wrapText="1"/>
    </xf>
    <xf numFmtId="0" fontId="22" fillId="0" borderId="13" xfId="0" applyFont="1" applyBorder="1">
      <alignment horizontal="center" vertical="center" wrapText="1"/>
    </xf>
    <xf numFmtId="0" fontId="22" fillId="0" borderId="12" xfId="0" applyFont="1" applyBorder="1">
      <alignment horizontal="center" vertical="center" wrapText="1"/>
    </xf>
    <xf numFmtId="0" fontId="22" fillId="0" borderId="17" xfId="0" applyFont="1" applyBorder="1">
      <alignment horizontal="center" vertical="center" wrapText="1"/>
    </xf>
    <xf numFmtId="0" fontId="22" fillId="0" borderId="12" xfId="0" applyFont="1" applyBorder="1">
      <alignment horizontal="left" vertical="center" wrapText="1"/>
    </xf>
    <xf numFmtId="0" fontId="22" fillId="0" borderId="12" xfId="0" applyFont="1" applyBorder="1">
      <alignment horizontal="center" vertical="center" wrapText="1"/>
    </xf>
    <xf numFmtId="0" fontId="46" fillId="0" borderId="0" xfId="0" applyFont="1">
      <alignment horizontal="center" vertical="center" wrapText="1"/>
    </xf>
    <xf numFmtId="0" fontId="46" fillId="0" borderId="12" xfId="0" applyFont="1" applyBorder="1">
      <alignment horizontal="center" vertical="center" wrapText="1"/>
    </xf>
    <xf numFmtId="0" fontId="22" fillId="39" borderId="12" xfId="0" applyFont="1" applyFill="1" applyBorder="1">
      <alignment horizontal="center" vertical="center" wrapText="1"/>
      <protection locked="0"/>
    </xf>
    <xf numFmtId="49" fontId="22" fillId="34" borderId="12" xfId="0" applyFont="1" applyFill="1" applyBorder="1" applyNumberFormat="1">
      <alignment horizontal="center" vertical="center" wrapText="1"/>
    </xf>
    <xf numFmtId="0" fontId="0" fillId="0" borderId="12" xfId="0" applyFont="1" applyBorder="1">
      <alignment horizontal="left" vertical="top" wrapText="1"/>
    </xf>
    <xf numFmtId="14" fontId="22" fillId="40" borderId="12" xfId="0" applyFont="1" applyFill="1" applyBorder="1" applyNumberFormat="1">
      <alignment horizontal="left" vertical="center" wrapText="1" indent="1"/>
    </xf>
    <xf numFmtId="49" fontId="124" fillId="0" borderId="12" xfId="0" applyFont="1" applyBorder="1" applyNumberFormat="1">
      <alignment horizontal="left" vertical="center" wrapText="1" indent="1"/>
    </xf>
    <xf numFmtId="0" fontId="22" fillId="0" borderId="14" xfId="0" applyFont="1" applyBorder="1">
      <alignment horizontal="center" vertical="center" wrapText="1"/>
    </xf>
    <xf numFmtId="49" fontId="22" fillId="0" borderId="12" xfId="0" applyFont="1" applyBorder="1" applyNumberFormat="1">
      <alignment horizontal="center" vertical="center" wrapText="1"/>
    </xf>
    <xf numFmtId="0" fontId="22" fillId="0" borderId="23" xfId="0" applyFont="1" applyBorder="1">
      <alignment horizontal="left" vertical="center" wrapText="1" indent="1"/>
    </xf>
    <xf numFmtId="0" fontId="22" fillId="34" borderId="12" xfId="0" applyFont="1" applyFill="1" applyBorder="1">
      <alignment horizontal="left" vertical="center" wrapText="1" indent="1"/>
    </xf>
    <xf numFmtId="0" fontId="47" fillId="0" borderId="0" xfId="0" applyFont="1">
      <alignment horizontal="center" vertical="center" wrapText="1"/>
    </xf>
    <xf numFmtId="180" fontId="22" fillId="0" borderId="23" xfId="0" applyFont="1" applyBorder="1" applyNumberFormat="1">
      <alignment horizontal="center" vertical="center" wrapText="1"/>
    </xf>
    <xf numFmtId="0" fontId="22" fillId="0" borderId="0" xfId="0" applyFont="1">
      <alignment horizontal="right" vertical="center" wrapText="1"/>
    </xf>
    <xf numFmtId="0" fontId="22" fillId="35" borderId="12" xfId="0" applyFont="1" applyFill="1" applyBorder="1">
      <alignment vertical="top" wrapText="1"/>
    </xf>
    <xf numFmtId="0" fontId="22" fillId="35" borderId="12" xfId="0" applyFont="1" applyFill="1" applyBorder="1">
      <alignment horizontal="left" vertical="top" wrapText="1"/>
    </xf>
    <xf numFmtId="49" fontId="53" fillId="36" borderId="23" xfId="0" applyFont="1" applyFill="1" applyBorder="1" applyNumberFormat="1">
      <alignment horizontal="left" vertical="center" wrapText="1"/>
      <protection locked="0"/>
    </xf>
    <xf numFmtId="49" fontId="0" fillId="37" borderId="29" xfId="0" applyFont="1" applyFill="1" applyBorder="1" applyNumberFormat="1">
      <alignment horizontal="right" vertical="center" wrapText="1"/>
    </xf>
    <xf numFmtId="0" fontId="22" fillId="0" borderId="0" xfId="0" applyFont="1">
      <alignment horizontal="left" vertical="center" wrapText="1"/>
    </xf>
    <xf numFmtId="0" fontId="0" fillId="48" borderId="0" xfId="0" applyFont="1" applyFill="1">
      <alignment horizontal="right" vertical="top" wrapText="1"/>
    </xf>
    <xf numFmtId="0" fontId="22" fillId="0" borderId="0" xfId="0" applyFont="1">
      <alignment horizontal="left" vertical="top" wrapText="1"/>
    </xf>
    <xf numFmtId="14" fontId="22" fillId="0" borderId="23" xfId="0" applyFont="1" applyBorder="1" applyNumberFormat="1">
      <alignment horizontal="left" vertical="center" wrapText="1" indent="1"/>
    </xf>
    <xf numFmtId="0" fontId="22" fillId="0" borderId="12" xfId="0" applyFont="1" applyBorder="1">
      <alignment horizontal="center" vertical="center" wrapText="1"/>
    </xf>
    <xf numFmtId="0" fontId="22" fillId="0" borderId="23" xfId="0" applyFont="1" applyBorder="1">
      <alignment horizontal="center" vertical="center" wrapText="1"/>
    </xf>
    <xf numFmtId="0" fontId="22" fillId="34" borderId="12" xfId="0" applyFont="1" applyFill="1" applyBorder="1">
      <alignment horizontal="left" vertical="center" wrapText="1" indent="1"/>
    </xf>
    <xf numFmtId="0" fontId="47" fillId="0" borderId="0" xfId="0" applyFont="1">
      <alignment horizontal="center" vertical="center" wrapText="1"/>
    </xf>
    <xf numFmtId="0" fontId="22" fillId="34" borderId="12" xfId="0" applyFont="1" applyFill="1" applyBorder="1">
      <alignment horizontal="left" vertical="center" wrapText="1"/>
    </xf>
    <xf numFmtId="180" fontId="22" fillId="0" borderId="12" xfId="0" applyFont="1" applyBorder="1" applyNumberFormat="1">
      <alignment horizontal="center" vertical="center" wrapText="1"/>
    </xf>
    <xf numFmtId="0" fontId="22" fillId="0" borderId="14" xfId="0" applyFont="1" applyBorder="1">
      <alignment horizontal="center" vertical="center" wrapText="1"/>
    </xf>
    <xf numFmtId="0" fontId="47" fillId="0" borderId="0" xfId="0" applyFont="1">
      <alignment horizontal="center" vertical="center" wrapText="1"/>
    </xf>
    <xf numFmtId="49" fontId="22" fillId="39" borderId="12" xfId="0" applyFont="1" applyFill="1" applyBorder="1" applyNumberFormat="1">
      <alignment horizontal="left" vertical="center" wrapText="1"/>
      <protection locked="0"/>
    </xf>
    <xf numFmtId="0" fontId="22" fillId="35" borderId="36" xfId="0" applyFont="1" applyFill="1" applyBorder="1">
      <alignment vertical="center" wrapText="1"/>
    </xf>
    <xf numFmtId="180" fontId="44" fillId="0" borderId="19" xfId="0" applyFont="1" applyBorder="1" applyNumberFormat="1">
      <alignment horizontal="center" vertical="center" wrapText="1"/>
    </xf>
    <xf numFmtId="180" fontId="44" fillId="0" borderId="20" xfId="0" applyFont="1" applyBorder="1" applyNumberFormat="1">
      <alignment horizontal="center" vertical="center" wrapText="1"/>
    </xf>
    <xf numFmtId="181" fontId="22" fillId="39" borderId="12" xfId="0" applyFont="1" applyFill="1" applyBorder="1" applyNumberFormat="1">
      <alignment horizontal="left" vertical="center" wrapText="1" indent="1"/>
      <protection locked="0"/>
    </xf>
    <xf numFmtId="179" fontId="0" fillId="39" borderId="15" xfId="0" applyFont="1" applyFill="1" applyBorder="1" applyNumberFormat="1">
      <alignment horizontal="left" vertical="center" wrapText="1" indent="1"/>
      <protection locked="0"/>
    </xf>
    <xf numFmtId="49" fontId="22" fillId="39" borderId="27" xfId="0" applyFont="1" applyFill="1" applyBorder="1" applyNumberFormat="1">
      <alignment horizontal="left" vertical="center" wrapText="1"/>
      <protection locked="0"/>
    </xf>
    <xf numFmtId="49" fontId="22" fillId="39" borderId="30" xfId="0" applyFont="1" applyFill="1" applyBorder="1" applyNumberFormat="1">
      <alignment horizontal="left" vertical="center" wrapText="1"/>
      <protection locked="0"/>
    </xf>
    <xf numFmtId="49" fontId="53" fillId="37" borderId="29" xfId="0" applyFont="1" applyFill="1" applyBorder="1" applyNumberFormat="1">
      <alignment horizontal="left" vertical="center" wrapText="1"/>
    </xf>
    <xf numFmtId="0" fontId="22" fillId="39" borderId="12" xfId="0" applyFont="1" applyFill="1" applyBorder="1">
      <alignment horizontal="left" vertical="top" wrapText="1" indent="1"/>
      <protection locked="0"/>
    </xf>
    <xf numFmtId="0" fontId="22" fillId="0" borderId="15" xfId="0" applyFont="1" applyBorder="1">
      <alignment horizontal="center" vertical="center" wrapText="1"/>
    </xf>
    <xf numFmtId="0" fontId="47" fillId="0" borderId="0" xfId="0" applyFont="1">
      <alignment horizontal="center" vertical="center" wrapText="1"/>
    </xf>
    <xf numFmtId="0" fontId="22" fillId="35" borderId="22" xfId="0" applyFont="1" applyFill="1" applyBorder="1">
      <alignment vertical="center" wrapText="1"/>
    </xf>
    <xf numFmtId="0" fontId="35" fillId="0" borderId="0" xfId="61" applyFont="1" applyNumberFormat="1">
      <alignment horizontal="center" vertical="center" wrapText="1"/>
    </xf>
    <xf numFmtId="0" fontId="35" fillId="0" borderId="0" xfId="61" applyFont="1" applyNumberFormat="1">
      <alignment horizontal="center" vertical="center" wrapText="1"/>
    </xf>
    <xf numFmtId="0" fontId="35" fillId="0" borderId="0" xfId="61" applyFont="1" applyNumberFormat="1">
      <alignment horizontal="center" vertical="center" wrapText="1"/>
    </xf>
    <xf numFmtId="0" fontId="35" fillId="0" borderId="0" xfId="61" applyFont="1" applyNumberFormat="1">
      <alignment horizontal="center" vertical="center" wrapText="1"/>
    </xf>
    <xf numFmtId="0" fontId="35" fillId="0" borderId="12" xfId="61" applyFont="1" applyBorder="1" applyNumberFormat="1">
      <alignment horizontal="center" vertical="center" wrapText="1"/>
    </xf>
    <xf numFmtId="0" fontId="22" fillId="0" borderId="12" xfId="0" applyFont="1" applyBorder="1">
      <alignment horizontal="left" vertical="top" wrapText="1"/>
    </xf>
    <xf numFmtId="49" fontId="22" fillId="0" borderId="19" xfId="0" applyFont="1" applyBorder="1" applyNumberFormat="1">
      <alignment horizontal="center" vertical="center" wrapText="1"/>
    </xf>
    <xf numFmtId="49" fontId="22" fillId="0" borderId="0" xfId="0" applyFont="1" applyNumberFormat="1">
      <alignment horizontal="center" vertical="center" wrapText="1"/>
    </xf>
    <xf numFmtId="49" fontId="0" fillId="0" borderId="19" xfId="0" applyFont="1" applyBorder="1" applyNumberFormat="1">
      <alignment horizontal="left" vertical="center" wrapText="1"/>
    </xf>
    <xf numFmtId="0" fontId="39" fillId="0" borderId="0" xfId="0" applyFont="1">
      <alignment horizontal="left" vertical="center"/>
    </xf>
    <xf numFmtId="0" fontId="39" fillId="0" borderId="24" xfId="0" applyFont="1" applyBorder="1">
      <alignment horizontal="left" vertical="center"/>
    </xf>
    <xf numFmtId="0" fontId="39" fillId="0" borderId="27" xfId="0" applyFont="1" applyBorder="1">
      <alignment horizontal="left" vertical="center"/>
    </xf>
    <xf numFmtId="0" fontId="39" fillId="0" borderId="29" xfId="0" applyFont="1" applyBorder="1">
      <alignment horizontal="left" vertical="center"/>
    </xf>
    <xf numFmtId="0" fontId="0" fillId="0" borderId="12" xfId="0" applyFont="1" applyBorder="1">
      <alignment horizontal="center" vertical="center" wrapText="1"/>
    </xf>
    <xf numFmtId="0" fontId="22" fillId="0" borderId="0" xfId="0" applyFont="1">
      <alignment horizontal="center" vertical="center" wrapText="1"/>
    </xf>
    <xf numFmtId="0" fontId="22" fillId="0" borderId="0" xfId="0" applyFont="1">
      <alignment horizontal="center" vertical="center" wrapText="1"/>
    </xf>
    <xf numFmtId="0" fontId="22" fillId="0" borderId="12" xfId="0" applyFont="1" applyBorder="1">
      <alignment horizontal="center" vertical="center" wrapText="1"/>
    </xf>
    <xf numFmtId="49" fontId="22" fillId="40" borderId="12" xfId="0" applyFont="1" applyFill="1" applyBorder="1" applyNumberFormat="1">
      <alignment horizontal="center" vertical="center" wrapText="1"/>
    </xf>
    <xf numFmtId="49" fontId="22" fillId="0" borderId="19" xfId="0" applyFont="1" applyBorder="1" applyNumberFormat="1">
      <alignment horizontal="center" vertical="center" wrapText="1"/>
    </xf>
    <xf numFmtId="49" fontId="22" fillId="0" borderId="0" xfId="0" applyFont="1" applyNumberFormat="1">
      <alignment horizontal="center" vertical="center" wrapText="1"/>
    </xf>
    <xf numFmtId="49" fontId="0" fillId="0" borderId="19" xfId="0" applyFont="1" applyBorder="1" applyNumberFormat="1">
      <alignment horizontal="left" vertical="center" wrapText="1"/>
    </xf>
    <xf numFmtId="0" fontId="39" fillId="0" borderId="27" xfId="0" applyFont="1" applyBorder="1">
      <alignment horizontal="left" vertical="center"/>
    </xf>
    <xf numFmtId="0" fontId="39" fillId="0" borderId="29" xfId="0" applyFont="1" applyBorder="1">
      <alignment horizontal="left" vertical="center"/>
    </xf>
    <xf numFmtId="0" fontId="39" fillId="0" borderId="0" xfId="0" applyFont="1">
      <alignment horizontal="left" vertical="center"/>
    </xf>
    <xf numFmtId="0" fontId="39" fillId="0" borderId="24" xfId="0" applyFont="1" applyBorder="1">
      <alignment horizontal="left" vertical="center"/>
    </xf>
    <xf numFmtId="0" fontId="22" fillId="35" borderId="12" xfId="0" applyFont="1" applyFill="1" applyBorder="1">
      <alignment horizontal="center" vertical="center" wrapText="1"/>
    </xf>
    <xf numFmtId="0" fontId="46" fillId="0" borderId="0" xfId="0" applyFont="1">
      <alignment horizontal="center" vertical="center" wrapText="1"/>
    </xf>
    <xf numFmtId="0" fontId="22" fillId="34" borderId="15" xfId="0" applyFont="1" applyFill="1" applyBorder="1">
      <alignment horizontal="left" vertical="center" wrapText="1"/>
    </xf>
    <xf numFmtId="0" fontId="22" fillId="0" borderId="0" xfId="0" applyFont="1">
      <alignment horizontal="left" vertical="top" wrapText="1"/>
    </xf>
    <xf numFmtId="0" fontId="47" fillId="0" borderId="0" xfId="0" applyFont="1">
      <alignment horizontal="center" vertical="center" wrapText="1"/>
    </xf>
    <xf numFmtId="179" fontId="0" fillId="39" borderId="12" xfId="0" applyFont="1" applyFill="1" applyBorder="1" applyNumberFormat="1">
      <alignment horizontal="center" vertical="center" wrapText="1"/>
      <protection locked="0"/>
    </xf>
    <xf numFmtId="0" fontId="80" fillId="35" borderId="19" xfId="0" applyFont="1" applyFill="1" applyBorder="1">
      <alignment horizontal="center" vertical="center" wrapText="1"/>
    </xf>
    <xf numFmtId="0" fontId="36" fillId="0" borderId="27" xfId="0" applyFont="1" applyBorder="1">
      <alignment horizontal="center" vertical="center" wrapText="1"/>
    </xf>
    <xf numFmtId="0" fontId="22" fillId="35" borderId="12" xfId="0" applyFont="1" applyFill="1" applyBorder="1">
      <alignment horizontal="left" vertical="center" wrapText="1"/>
    </xf>
    <xf numFmtId="0" fontId="22" fillId="35" borderId="23" xfId="0" applyFont="1" applyFill="1" applyBorder="1">
      <alignment horizontal="center" vertical="center" wrapText="1"/>
    </xf>
    <xf numFmtId="0" fontId="47" fillId="0" borderId="15" xfId="0" applyFont="1" applyBorder="1">
      <alignment horizontal="left" vertical="center" wrapText="1"/>
    </xf>
    <xf numFmtId="49" fontId="22" fillId="39" borderId="17" xfId="0" applyFont="1" applyFill="1" applyBorder="1" applyNumberFormat="1">
      <alignment horizontal="left" vertical="center" wrapText="1" indent="6"/>
      <protection locked="0"/>
    </xf>
    <xf numFmtId="0" fontId="22" fillId="35" borderId="17" xfId="0" applyFont="1" applyFill="1" applyBorder="1">
      <alignment horizontal="left" vertical="center" wrapText="1"/>
    </xf>
    <xf numFmtId="4" fontId="22" fillId="39" borderId="12" xfId="0" applyFont="1" applyFill="1" applyBorder="1" applyNumberFormat="1">
      <alignment horizontal="left" vertical="center" wrapText="1" indent="1"/>
      <protection locked="0"/>
    </xf>
    <xf numFmtId="49" fontId="22" fillId="36" borderId="17" xfId="0" applyFont="1" applyFill="1" applyBorder="1" applyNumberFormat="1">
      <alignment horizontal="left" vertical="center" wrapText="1" indent="6"/>
      <protection locked="0"/>
    </xf>
    <xf numFmtId="49" fontId="22" fillId="0" borderId="0" xfId="0" applyFont="1" applyNumberFormat="1">
      <alignment vertical="center" wrapText="1"/>
    </xf>
    <xf numFmtId="49" fontId="47" fillId="0" borderId="12" xfId="0" applyFont="1" applyBorder="1" applyNumberFormat="1">
      <alignment horizontal="center" vertical="center" wrapText="1"/>
    </xf>
    <xf numFmtId="49" fontId="22" fillId="0" borderId="12" xfId="0" applyFont="1" applyBorder="1" applyNumberFormat="1">
      <alignment horizontal="left" vertical="center" wrapText="1"/>
    </xf>
    <xf numFmtId="0" fontId="22" fillId="35" borderId="29" xfId="0" applyFont="1" applyFill="1" applyBorder="1">
      <alignment horizontal="center" vertical="center" wrapText="1"/>
    </xf>
    <xf numFmtId="0" fontId="46" fillId="0" borderId="0" xfId="0" applyFont="1">
      <alignment horizontal="center" vertical="center" wrapText="1"/>
    </xf>
    <xf numFmtId="0" fontId="22" fillId="0" borderId="0" xfId="0" applyFont="1">
      <alignment horizontal="right" vertical="center" wrapText="1"/>
    </xf>
    <xf numFmtId="0" fontId="22" fillId="0" borderId="0" xfId="0" applyFont="1">
      <alignment horizontal="left" vertical="center"/>
    </xf>
    <xf numFmtId="49" fontId="22" fillId="0" borderId="0" xfId="0" applyFont="1" applyNumberFormat="1">
      <alignment horizontal="left" vertical="center"/>
    </xf>
    <xf numFmtId="0" fontId="22" fillId="0" borderId="0" xfId="0" applyFont="1">
      <alignment horizontal="left" vertical="center"/>
    </xf>
    <xf numFmtId="0" fontId="22" fillId="0" borderId="0" xfId="0" applyFont="1">
      <alignment horizontal="left" vertical="center" indent="1"/>
    </xf>
    <xf numFmtId="49" fontId="22" fillId="0" borderId="0" xfId="0" applyFont="1" applyNumberFormat="1">
      <alignment horizontal="left" vertical="center"/>
    </xf>
    <xf numFmtId="0" fontId="0" fillId="0" borderId="12" xfId="0" applyFont="1" applyBorder="1">
      <alignment horizontal="center" vertical="center" wrapText="1"/>
    </xf>
    <xf numFmtId="49" fontId="0" fillId="39" borderId="12" xfId="0" applyFont="1" applyFill="1" applyBorder="1" applyNumberFormat="1">
      <alignment horizontal="left" vertical="center" wrapText="1"/>
      <protection locked="0"/>
    </xf>
    <xf numFmtId="49" fontId="22" fillId="35" borderId="0" xfId="0" applyFont="1" applyFill="1" applyNumberFormat="1">
      <alignment vertical="center" wrapText="1"/>
    </xf>
    <xf numFmtId="0" fontId="80" fillId="35" borderId="19" xfId="0" applyFont="1" applyFill="1" applyBorder="1">
      <alignment horizontal="center" vertical="center" wrapText="1"/>
    </xf>
    <xf numFmtId="0" fontId="46" fillId="0" borderId="0" xfId="0" applyFont="1">
      <alignment horizontal="center" vertical="center" wrapText="1"/>
    </xf>
    <xf numFmtId="49" fontId="22" fillId="0" borderId="0" xfId="0" applyFont="1" applyNumberFormat="1">
      <alignment vertical="center" wrapText="1"/>
    </xf>
    <xf numFmtId="49" fontId="22" fillId="36" borderId="12" xfId="0" applyFont="1" applyFill="1" applyBorder="1" applyNumberFormat="1">
      <alignment horizontal="left" vertical="center" indent="1"/>
      <protection locked="0"/>
    </xf>
    <xf numFmtId="49" fontId="22" fillId="35" borderId="12" xfId="59" applyFont="1" applyFill="1" applyBorder="1" applyNumberFormat="1">
      <alignment horizontal="center" vertical="center" wrapText="1"/>
    </xf>
    <xf numFmtId="14" fontId="22" fillId="39" borderId="14" xfId="0" applyFont="1" applyFill="1" applyBorder="1" applyNumberFormat="1">
      <alignment horizontal="left" vertical="center" wrapText="1" indent="1"/>
      <protection locked="0"/>
    </xf>
    <xf numFmtId="0" fontId="46" fillId="0" borderId="36" xfId="0" applyFont="1" applyBorder="1">
      <alignment horizontal="left" vertical="center" wrapText="1" indent="1"/>
    </xf>
    <xf numFmtId="49" fontId="105" fillId="37" borderId="42" xfId="0" applyFont="1" applyFill="1" applyBorder="1" applyNumberFormat="1">
      <alignment horizontal="left" vertical="center" indent="1"/>
    </xf>
    <xf numFmtId="14" fontId="22" fillId="40" borderId="22" xfId="0" applyFont="1" applyFill="1" applyBorder="1" applyNumberFormat="1">
      <alignment horizontal="left" vertical="center" wrapText="1" indent="1"/>
    </xf>
    <xf numFmtId="0" fontId="22" fillId="0" borderId="22" xfId="0" applyFont="1" applyBorder="1">
      <alignment vertical="center" wrapText="1"/>
    </xf>
    <xf numFmtId="0" fontId="0" fillId="0" borderId="13" xfId="0" applyFont="1" applyBorder="1">
      <alignment horizontal="center" vertical="center" wrapText="1"/>
    </xf>
    <xf numFmtId="49" fontId="22" fillId="40" borderId="12" xfId="0" applyFont="1" applyFill="1" applyBorder="1" applyNumberFormat="1">
      <alignment horizontal="center" vertical="center" wrapText="1"/>
    </xf>
    <xf numFmtId="0" fontId="22" fillId="0" borderId="12" xfId="0" applyFont="1" applyBorder="1">
      <alignment horizontal="center" vertical="center" wrapText="1"/>
    </xf>
    <xf numFmtId="179" fontId="0" fillId="39" borderId="12" xfId="0" applyFont="1" applyFill="1" applyBorder="1" applyNumberFormat="1">
      <alignment horizontal="center" vertical="center" wrapText="1"/>
      <protection locked="0"/>
    </xf>
    <xf numFmtId="0" fontId="22" fillId="35" borderId="17" xfId="0" applyFont="1" applyFill="1" applyBorder="1">
      <alignment horizontal="left" vertical="center" wrapText="1"/>
    </xf>
    <xf numFmtId="49" fontId="22" fillId="39" borderId="17" xfId="0" applyFont="1" applyFill="1" applyBorder="1" applyNumberFormat="1">
      <alignment horizontal="left" vertical="center" wrapText="1" indent="6"/>
      <protection locked="0"/>
    </xf>
    <xf numFmtId="0" fontId="47" fillId="0" borderId="24" xfId="0" applyFont="1" applyBorder="1">
      <alignment horizontal="center" vertical="top" wrapText="1"/>
    </xf>
    <xf numFmtId="49" fontId="22" fillId="36" borderId="17" xfId="0" applyFont="1" applyFill="1" applyBorder="1" applyNumberFormat="1">
      <alignment horizontal="left" vertical="center" wrapText="1" indent="6"/>
      <protection locked="0"/>
    </xf>
    <xf numFmtId="4" fontId="22" fillId="39" borderId="12" xfId="0" applyFont="1" applyFill="1" applyBorder="1" applyNumberFormat="1">
      <alignment horizontal="left" vertical="center" wrapText="1" indent="1"/>
      <protection locked="0"/>
    </xf>
    <xf numFmtId="49" fontId="22" fillId="0" borderId="19" xfId="0" applyFont="1" applyBorder="1" applyNumberFormat="1">
      <alignment horizontal="center" vertical="center" wrapText="1"/>
    </xf>
    <xf numFmtId="49" fontId="22" fillId="0" borderId="0" xfId="0" applyFont="1" applyNumberFormat="1">
      <alignment horizontal="center" vertical="center" wrapText="1"/>
    </xf>
    <xf numFmtId="49" fontId="0" fillId="0" borderId="19" xfId="0" applyFont="1" applyBorder="1" applyNumberFormat="1">
      <alignment horizontal="left" vertical="center" wrapText="1"/>
    </xf>
    <xf numFmtId="0" fontId="39" fillId="0" borderId="27" xfId="0" applyFont="1" applyBorder="1">
      <alignment horizontal="left" vertical="center"/>
    </xf>
    <xf numFmtId="0" fontId="39" fillId="0" borderId="29" xfId="0" applyFont="1" applyBorder="1">
      <alignment horizontal="left" vertical="center"/>
    </xf>
    <xf numFmtId="0" fontId="39" fillId="0" borderId="0" xfId="0" applyFont="1">
      <alignment horizontal="left" vertical="center"/>
    </xf>
    <xf numFmtId="0" fontId="39" fillId="0" borderId="24" xfId="0" applyFont="1" applyBorder="1">
      <alignment horizontal="left" vertical="center"/>
    </xf>
    <xf numFmtId="49" fontId="31" fillId="47" borderId="0" xfId="0" applyFont="1" applyFill="1" applyNumberFormat="1">
      <alignment horizontal="center" vertical="center" wrapText="1"/>
    </xf>
    <xf numFmtId="0" fontId="47" fillId="0" borderId="0" xfId="0" applyFont="1">
      <alignment horizontal="center" vertical="center" wrapText="1"/>
    </xf>
    <xf numFmtId="0" fontId="22" fillId="35" borderId="12" xfId="0" applyFont="1" applyFill="1" applyBorder="1">
      <alignment horizontal="left" vertical="center" wrapText="1"/>
    </xf>
    <xf numFmtId="0" fontId="22" fillId="35" borderId="17" xfId="0" applyFont="1" applyFill="1" applyBorder="1">
      <alignment horizontal="left" vertical="center" wrapText="1"/>
    </xf>
    <xf numFmtId="0" fontId="22" fillId="35" borderId="23" xfId="0" applyFont="1" applyFill="1" applyBorder="1">
      <alignment horizontal="left" vertical="center" wrapText="1"/>
    </xf>
    <xf numFmtId="0" fontId="44" fillId="0" borderId="13" xfId="0" applyFont="1" applyBorder="1">
      <alignment vertical="top" wrapText="1"/>
    </xf>
    <xf numFmtId="0" fontId="47" fillId="0" borderId="13" xfId="0" applyFont="1" applyBorder="1">
      <alignment vertical="top" wrapText="1"/>
    </xf>
    <xf numFmtId="0" fontId="22" fillId="35" borderId="17" xfId="0" applyFont="1" applyFill="1" applyBorder="1">
      <alignment horizontal="left" vertical="center" wrapText="1" indent="2"/>
    </xf>
    <xf numFmtId="0" fontId="22" fillId="0" borderId="17" xfId="0" applyFont="1" applyBorder="1">
      <alignment horizontal="left" vertical="center" wrapText="1" indent="6"/>
    </xf>
    <xf numFmtId="0" fontId="22" fillId="40" borderId="23" xfId="0" applyFont="1" applyFill="1" applyBorder="1">
      <alignment horizontal="left" vertical="center" wrapText="1" indent="6"/>
    </xf>
    <xf numFmtId="0" fontId="22" fillId="0" borderId="23" xfId="0" applyFont="1" applyBorder="1">
      <alignment horizontal="left" vertical="center" wrapText="1" indent="6"/>
    </xf>
    <xf numFmtId="4" fontId="22" fillId="36" borderId="23" xfId="0" applyFont="1" applyFill="1" applyBorder="1" applyNumberFormat="1">
      <alignment horizontal="right" vertical="center" wrapText="1"/>
      <protection locked="0"/>
    </xf>
    <xf numFmtId="177" fontId="22" fillId="36" borderId="23" xfId="0" applyFont="1" applyFill="1" applyBorder="1" applyNumberFormat="1">
      <alignment horizontal="right" vertical="center" wrapText="1"/>
      <protection locked="0"/>
    </xf>
    <xf numFmtId="0" fontId="22" fillId="0" borderId="15" xfId="0" applyFont="1" applyBorder="1">
      <alignment horizontal="center" vertical="center" wrapText="1"/>
    </xf>
    <xf numFmtId="0" fontId="22" fillId="0" borderId="13" xfId="0" applyFont="1" applyBorder="1">
      <alignment horizontal="center" vertical="center" wrapText="1"/>
    </xf>
    <xf numFmtId="0" fontId="22" fillId="0" borderId="12" xfId="0" applyFont="1" applyBorder="1">
      <alignment horizontal="center" vertical="center" wrapText="1"/>
    </xf>
    <xf numFmtId="49" fontId="22" fillId="0" borderId="0" xfId="0" applyFont="1" applyNumberFormat="1">
      <alignment horizontal="center" vertical="center" wrapText="1"/>
    </xf>
    <xf numFmtId="0" fontId="22" fillId="0" borderId="12" xfId="0" applyFont="1" applyBorder="1">
      <alignment horizontal="left" vertical="center" wrapText="1"/>
    </xf>
    <xf numFmtId="0" fontId="22" fillId="0" borderId="37" xfId="0" applyFont="1" applyBorder="1">
      <alignment horizontal="center" vertical="center" wrapText="1"/>
    </xf>
    <xf numFmtId="49" fontId="0" fillId="35" borderId="12" xfId="0" applyFont="1" applyFill="1" applyBorder="1" applyNumberFormat="1">
      <alignment horizontal="center" vertical="center" wrapText="1"/>
    </xf>
    <xf numFmtId="0" fontId="22" fillId="35" borderId="12" xfId="0" applyFont="1" applyFill="1" applyBorder="1">
      <alignment horizontal="center" vertical="center" wrapText="1"/>
    </xf>
    <xf numFmtId="0" fontId="0" fillId="0" borderId="12" xfId="0" applyFont="1" applyBorder="1">
      <alignment horizontal="center" vertical="center" wrapText="1"/>
    </xf>
    <xf numFmtId="0" fontId="22" fillId="0" borderId="15" xfId="0" applyFont="1" applyBorder="1">
      <alignment horizontal="right" vertical="center" wrapText="1" indent="1"/>
    </xf>
    <xf numFmtId="0" fontId="22" fillId="0" borderId="0" xfId="0" applyFont="1">
      <alignment horizontal="left" vertical="top" wrapText="1"/>
    </xf>
    <xf numFmtId="0" fontId="22" fillId="34" borderId="14" xfId="0" applyFont="1" applyFill="1" applyBorder="1">
      <alignment horizontal="left" vertical="top" wrapText="1"/>
    </xf>
    <xf numFmtId="49" fontId="22" fillId="0" borderId="0" xfId="0" applyFont="1" applyNumberFormat="1">
      <alignment vertical="center" wrapText="1"/>
    </xf>
    <xf numFmtId="0" fontId="0" fillId="0" borderId="12" xfId="0" applyFont="1" applyBorder="1">
      <alignment horizontal="left" vertical="center" wrapText="1"/>
    </xf>
    <xf numFmtId="49" fontId="22" fillId="0" borderId="12" xfId="0" applyFont="1" applyBorder="1" applyNumberFormat="1">
      <alignment horizontal="center" vertical="center" wrapText="1"/>
    </xf>
    <xf numFmtId="0" fontId="22" fillId="0" borderId="12" xfId="0" applyFont="1" applyBorder="1">
      <alignment horizontal="left" vertical="center" wrapText="1"/>
    </xf>
    <xf numFmtId="0" fontId="22" fillId="0" borderId="17" xfId="0" applyFont="1" applyBorder="1">
      <alignment horizontal="left" vertical="center" wrapText="1"/>
    </xf>
    <xf numFmtId="49" fontId="94" fillId="0" borderId="43" xfId="0" applyFont="1" applyBorder="1" applyNumberFormat="1">
      <alignment horizontal="center" vertical="center"/>
    </xf>
    <xf numFmtId="49" fontId="94" fillId="0" borderId="43" xfId="0" applyFont="1" applyBorder="1" applyNumberFormat="1">
      <alignment horizontal="left" vertical="center" indent="1"/>
    </xf>
    <xf numFmtId="49" fontId="94" fillId="0" borderId="14" xfId="0" applyFont="1" applyBorder="1" applyNumberFormat="1">
      <alignment horizontal="left" vertical="center" indent="1"/>
    </xf>
    <xf numFmtId="49" fontId="94" fillId="0" borderId="15" xfId="0" applyFont="1" applyBorder="1" applyNumberFormat="1">
      <alignment horizontal="left" vertical="center" indent="1"/>
    </xf>
    <xf numFmtId="49" fontId="94" fillId="0" borderId="15" xfId="0" applyFont="1" applyBorder="1" applyNumberFormat="1">
      <alignment vertical="top" wrapText="1"/>
    </xf>
    <xf numFmtId="49" fontId="94" fillId="0" borderId="13" xfId="0" applyFont="1" applyBorder="1" applyNumberFormat="1">
      <alignment vertical="top" wrapText="1"/>
    </xf>
    <xf numFmtId="49" fontId="125" fillId="0" borderId="0" xfId="0" applyFont="1" applyNumberFormat="1">
      <alignment horizontal="center" vertical="top" wrapText="1"/>
    </xf>
    <xf numFmtId="0" fontId="94" fillId="0" borderId="12" xfId="0" applyFont="1" applyBorder="1">
      <alignment horizontal="center" vertical="center"/>
    </xf>
    <xf numFmtId="0" fontId="94" fillId="0" borderId="12" xfId="0" applyFont="1" applyBorder="1">
      <alignment horizontal="left" vertical="center" wrapText="1" indent="1"/>
    </xf>
    <xf numFmtId="4" fontId="46" fillId="0" borderId="31" xfId="0" applyFont="1" applyBorder="1" applyNumberFormat="1">
      <alignment horizontal="right" vertical="center" wrapText="1"/>
    </xf>
    <xf numFmtId="49" fontId="46" fillId="0" borderId="15" xfId="0" applyFont="1" applyBorder="1" applyNumberFormat="1">
      <alignment horizontal="left" vertical="center" indent="1"/>
    </xf>
    <xf numFmtId="49" fontId="94" fillId="0" borderId="52" xfId="0" applyFont="1" applyBorder="1" applyNumberFormat="1">
      <alignment vertical="top" wrapText="1"/>
    </xf>
    <xf numFmtId="49" fontId="94" fillId="0" borderId="52" xfId="0" applyFont="1" applyBorder="1" applyNumberFormat="1">
      <alignment horizontal="left" vertical="center" indent="1"/>
    </xf>
    <xf numFmtId="49" fontId="0" fillId="40" borderId="36" xfId="0" applyFont="1" applyFill="1" applyBorder="1" applyNumberFormat="1">
      <alignment horizontal="left" vertical="center" wrapText="1"/>
    </xf>
    <xf numFmtId="49" fontId="22" fillId="0" borderId="12" xfId="0" applyFont="1" applyBorder="1" applyNumberFormat="1">
      <alignment horizontal="center" vertical="center" wrapText="1"/>
    </xf>
    <xf numFmtId="49" fontId="126" fillId="0" borderId="12" xfId="0" applyFont="1" applyBorder="1" applyNumberFormat="1">
      <alignment horizontal="center" vertical="center" wrapText="1"/>
    </xf>
    <xf numFmtId="49" fontId="126" fillId="0" borderId="17" xfId="0" applyFont="1" applyBorder="1" applyNumberFormat="1">
      <alignment horizontal="center" vertical="center" wrapText="1"/>
    </xf>
    <xf numFmtId="0" fontId="22" fillId="54" borderId="12" xfId="60" applyFont="1" applyFill="1" applyBorder="1">
      <alignment vertical="center"/>
    </xf>
    <xf numFmtId="0" fontId="46" fillId="55" borderId="12" xfId="0" applyFont="1" applyFill="1" applyBorder="1">
      <alignment horizontal="left" vertical="center" wrapText="1"/>
    </xf>
    <xf numFmtId="0" fontId="91" fillId="0" borderId="0" xfId="0" applyFont="1">
      <alignment horizontal="center" vertical="center" wrapText="1"/>
    </xf>
    <xf numFmtId="49" fontId="22" fillId="0" borderId="0" xfId="0" applyFont="1" applyNumberFormat="1">
      <alignment vertical="center" wrapText="1"/>
    </xf>
    <xf numFmtId="49" fontId="0" fillId="7" borderId="12" xfId="0" applyFont="1" applyFill="1" applyBorder="1" applyNumberFormat="1">
      <alignment horizontal="center" vertical="center" wrapText="1"/>
    </xf>
    <xf numFmtId="49" fontId="22" fillId="0" borderId="0" xfId="0" applyFont="1" applyNumberFormat="1">
      <alignment vertical="center" wrapText="1"/>
    </xf>
    <xf numFmtId="49" fontId="0" fillId="7" borderId="12" xfId="0" applyFont="1" applyFill="1" applyBorder="1" applyNumberFormat="1">
      <alignment horizontal="center" vertical="center" wrapText="1"/>
    </xf>
    <xf numFmtId="49" fontId="35" fillId="0" borderId="0" xfId="0" applyFont="1" applyNumberFormat="1">
      <alignment horizontal="center" vertical="center" wrapText="1"/>
    </xf>
    <xf numFmtId="0" fontId="22" fillId="0" borderId="14" xfId="0" applyFont="1" applyBorder="1">
      <alignment horizontal="center" vertical="center" wrapText="1"/>
    </xf>
    <xf numFmtId="0" fontId="22" fillId="0" borderId="12" xfId="0" applyFont="1" applyBorder="1">
      <alignment horizontal="center" vertical="center" wrapText="1"/>
    </xf>
    <xf numFmtId="0" fontId="22" fillId="0" borderId="17" xfId="0" applyFont="1" applyBorder="1">
      <alignment horizontal="center" vertical="center" wrapText="1"/>
    </xf>
    <xf numFmtId="0" fontId="22" fillId="0" borderId="17" xfId="0" applyFont="1" applyBorder="1">
      <alignment horizontal="left" vertical="center" wrapText="1"/>
    </xf>
    <xf numFmtId="0" fontId="0" fillId="0" borderId="14" xfId="0" applyFont="1" applyBorder="1">
      <alignment horizontal="center" vertical="center" wrapText="1"/>
    </xf>
    <xf numFmtId="0" fontId="0" fillId="0" borderId="12" xfId="0" applyFont="1" applyBorder="1">
      <alignment horizontal="center" vertical="center" wrapText="1"/>
    </xf>
    <xf numFmtId="49" fontId="22" fillId="40" borderId="12" xfId="0" applyFont="1" applyFill="1" applyBorder="1" applyNumberFormat="1">
      <alignment horizontal="left" vertical="center" wrapText="1" indent="1"/>
    </xf>
    <xf numFmtId="0" fontId="22" fillId="0" borderId="19" xfId="0" applyFont="1" applyBorder="1">
      <alignment horizontal="right" vertical="center" wrapText="1" indent="1"/>
    </xf>
    <xf numFmtId="4" fontId="22" fillId="39" borderId="37" xfId="0" applyFont="1" applyFill="1" applyBorder="1" applyNumberFormat="1">
      <alignment horizontal="right" vertical="center" wrapText="1"/>
      <protection locked="0"/>
    </xf>
    <xf numFmtId="3" fontId="22" fillId="39" borderId="14" xfId="0" applyFont="1" applyFill="1" applyBorder="1" applyNumberFormat="1">
      <alignment horizontal="right" vertical="center" wrapText="1"/>
      <protection locked="0"/>
    </xf>
    <xf numFmtId="0" fontId="46" fillId="37" borderId="15" xfId="0" applyFont="1" applyFill="1" applyBorder="1">
      <alignment vertical="center" wrapText="1"/>
    </xf>
    <xf numFmtId="0" fontId="22" fillId="0" borderId="12" xfId="0" applyFont="1" applyBorder="1">
      <alignment horizontal="center" vertical="center" wrapText="1"/>
    </xf>
    <xf numFmtId="0" fontId="22" fillId="0" borderId="17" xfId="0" applyFont="1" applyBorder="1">
      <alignment horizontal="center" vertical="center" wrapText="1"/>
    </xf>
    <xf numFmtId="0" fontId="22" fillId="0" borderId="14" xfId="0" applyFont="1" applyBorder="1">
      <alignment horizontal="left" vertical="center" wrapText="1"/>
    </xf>
    <xf numFmtId="0" fontId="22" fillId="0" borderId="23" xfId="0" applyFont="1" applyBorder="1">
      <alignment horizontal="center" vertical="center" wrapText="1"/>
    </xf>
    <xf numFmtId="0" fontId="22" fillId="0" borderId="14" xfId="0" applyFont="1" applyBorder="1">
      <alignment horizontal="left" vertical="center" wrapText="1" indent="1"/>
    </xf>
    <xf numFmtId="0" fontId="22" fillId="0" borderId="14" xfId="0" applyFont="1" applyBorder="1">
      <alignment horizontal="left" vertical="center" wrapText="1" indent="2"/>
    </xf>
    <xf numFmtId="0" fontId="102" fillId="0" borderId="0" xfId="0" applyFont="1">
      <alignment vertical="center" wrapText="1"/>
    </xf>
    <xf numFmtId="0" fontId="102" fillId="0" borderId="0" xfId="0" applyFont="1">
      <alignment vertical="center"/>
    </xf>
    <xf numFmtId="0" fontId="45" fillId="56" borderId="63" xfId="0" applyFont="1" applyFill="1" applyBorder="1">
      <alignment horizontal="center" vertical="center" wrapText="1"/>
    </xf>
    <xf numFmtId="0" fontId="45" fillId="56" borderId="64" xfId="0" applyFont="1" applyFill="1" applyBorder="1">
      <alignment horizontal="center" vertical="center" wrapText="1"/>
    </xf>
    <xf numFmtId="0" fontId="45" fillId="56" borderId="65" xfId="0" applyFont="1" applyFill="1" applyBorder="1">
      <alignment horizontal="center" vertical="center" wrapText="1"/>
    </xf>
    <xf numFmtId="0" fontId="45" fillId="46" borderId="38" xfId="0" applyFont="1" applyFill="1" applyBorder="1">
      <alignment horizontal="right" vertical="center" wrapText="1" indent="1"/>
    </xf>
    <xf numFmtId="0" fontId="45" fillId="46" borderId="66" xfId="0" applyFont="1" applyFill="1" applyBorder="1">
      <alignment horizontal="right" vertical="center" wrapText="1" indent="1"/>
    </xf>
    <xf numFmtId="0" fontId="45" fillId="46" borderId="0" xfId="0" applyFont="1" applyFill="1">
      <alignment horizontal="right" vertical="center" wrapText="1" indent="1"/>
    </xf>
    <xf numFmtId="0" fontId="120" fillId="0" borderId="38" xfId="0" applyFont="1" applyBorder="1">
      <alignment vertical="center" wrapText="1"/>
    </xf>
    <xf numFmtId="0" fontId="120" fillId="0" borderId="0" xfId="0" applyFont="1">
      <alignment vertical="center" wrapText="1"/>
    </xf>
    <xf numFmtId="0" fontId="120" fillId="0" borderId="38" xfId="0" applyFont="1" applyBorder="1">
      <alignment horizontal="left" vertical="center" wrapText="1"/>
    </xf>
    <xf numFmtId="0" fontId="120" fillId="0" borderId="0" xfId="0" applyFont="1">
      <alignment horizontal="left" vertical="center" wrapText="1"/>
    </xf>
    <xf numFmtId="0" fontId="45" fillId="46" borderId="60" xfId="0" applyFont="1" applyFill="1" applyBorder="1">
      <alignment horizontal="right" vertical="center" wrapText="1" indent="1"/>
    </xf>
    <xf numFmtId="0" fontId="45" fillId="46" borderId="67" xfId="0" applyFont="1" applyFill="1" applyBorder="1">
      <alignment horizontal="right" vertical="center" wrapText="1" indent="1"/>
    </xf>
    <xf numFmtId="0" fontId="45" fillId="46" borderId="62" xfId="0" applyFont="1" applyFill="1" applyBorder="1">
      <alignment horizontal="right" vertical="center" wrapText="1" indent="1"/>
    </xf>
    <xf numFmtId="0" fontId="45" fillId="46" borderId="39" xfId="0" applyFont="1" applyFill="1" applyBorder="1">
      <alignment horizontal="right" vertical="center" wrapText="1" indent="1"/>
    </xf>
    <xf numFmtId="0" fontId="120" fillId="0" borderId="0" xfId="0" applyFont="1">
      <alignment vertical="top" wrapText="1"/>
    </xf>
    <xf numFmtId="49" fontId="66" fillId="0" borderId="0" xfId="0" applyFont="1" applyNumberFormat="1">
      <alignment vertical="top" wrapText="1"/>
    </xf>
    <xf numFmtId="0" fontId="22" fillId="0" borderId="13" xfId="0" applyFont="1" applyBorder="1">
      <alignment horizontal="center" vertical="center" wrapText="1"/>
    </xf>
    <xf numFmtId="0" fontId="22" fillId="0" borderId="14" xfId="0" applyFont="1" applyBorder="1">
      <alignment horizontal="center" vertical="center" wrapText="1"/>
    </xf>
    <xf numFmtId="0" fontId="96" fillId="0" borderId="0" xfId="0" applyFont="1">
      <alignment horizontal="left" vertical="center" wrapText="1"/>
    </xf>
    <xf numFmtId="14" fontId="93" fillId="0" borderId="12" xfId="0" applyFont="1" applyBorder="1" applyNumberFormat="1">
      <alignment horizontal="center" vertical="center" wrapText="1"/>
    </xf>
    <xf numFmtId="0" fontId="22" fillId="0" borderId="0" xfId="0" applyFont="1">
      <alignment horizontal="center" vertical="center" wrapText="1"/>
    </xf>
    <xf numFmtId="0" fontId="22" fillId="0" borderId="15" xfId="0" applyFont="1" applyBorder="1">
      <alignment horizontal="left" vertical="center" wrapText="1" indent="1"/>
    </xf>
    <xf numFmtId="0" fontId="22" fillId="0" borderId="14" xfId="0" applyFont="1" applyBorder="1">
      <alignment horizontal="center" vertical="center" wrapText="1"/>
    </xf>
    <xf numFmtId="0" fontId="22" fillId="0" borderId="15" xfId="0" applyFont="1" applyBorder="1">
      <alignment horizontal="center" vertical="center" wrapText="1"/>
    </xf>
    <xf numFmtId="0" fontId="22" fillId="0" borderId="13" xfId="0" applyFont="1" applyBorder="1">
      <alignment horizontal="center" vertical="center" wrapText="1"/>
    </xf>
    <xf numFmtId="4" fontId="22" fillId="0" borderId="12" xfId="0" applyFont="1" applyBorder="1" applyNumberFormat="1">
      <alignment horizontal="center" vertical="center" wrapText="1"/>
    </xf>
    <xf numFmtId="0" fontId="22" fillId="40" borderId="17" xfId="0" applyFont="1" applyFill="1" applyBorder="1">
      <alignment horizontal="left" vertical="center" wrapText="1" indent="1"/>
    </xf>
    <xf numFmtId="0" fontId="22" fillId="40" borderId="23" xfId="0" applyFont="1" applyFill="1" applyBorder="1">
      <alignment horizontal="left" vertical="center" wrapText="1" indent="1"/>
    </xf>
    <xf numFmtId="49" fontId="22" fillId="40" borderId="12" xfId="0" applyFont="1" applyFill="1" applyBorder="1" applyNumberFormat="1">
      <alignment horizontal="center" vertical="center" wrapText="1"/>
    </xf>
    <xf numFmtId="49" fontId="22" fillId="0" borderId="12" xfId="0" applyFont="1" applyBorder="1" applyNumberFormat="1">
      <alignment horizontal="center" vertical="center" wrapText="1"/>
    </xf>
    <xf numFmtId="0" fontId="22" fillId="40" borderId="17" xfId="0" applyFont="1" applyFill="1" applyBorder="1">
      <alignment horizontal="left" vertical="center" wrapText="1" indent="2"/>
    </xf>
    <xf numFmtId="0" fontId="22" fillId="40" borderId="36" xfId="0" applyFont="1" applyFill="1" applyBorder="1">
      <alignment horizontal="left" vertical="center" wrapText="1" indent="2"/>
    </xf>
    <xf numFmtId="0" fontId="22" fillId="40" borderId="23" xfId="0" applyFont="1" applyFill="1" applyBorder="1">
      <alignment horizontal="left" vertical="center" wrapText="1" indent="2"/>
    </xf>
    <xf numFmtId="49" fontId="22" fillId="40" borderId="23" xfId="0" applyFont="1" applyFill="1" applyBorder="1" applyNumberFormat="1">
      <alignment horizontal="center" vertical="center" wrapText="1"/>
    </xf>
    <xf numFmtId="14" fontId="81" fillId="0" borderId="68" xfId="0" applyFont="1" applyBorder="1" applyNumberFormat="1">
      <alignment horizontal="center" vertical="center" wrapText="1"/>
    </xf>
    <xf numFmtId="0" fontId="22" fillId="0" borderId="68" xfId="0" applyFont="1" applyBorder="1">
      <alignment horizontal="center" vertical="center" wrapText="1"/>
    </xf>
    <xf numFmtId="49" fontId="35" fillId="0" borderId="69" xfId="0" applyFont="1" applyBorder="1" applyNumberFormat="1">
      <alignment horizontal="center" vertical="center" wrapText="1"/>
    </xf>
    <xf numFmtId="49" fontId="35" fillId="0" borderId="70" xfId="0" applyFont="1" applyBorder="1" applyNumberFormat="1">
      <alignment horizontal="center" vertical="center" wrapText="1"/>
    </xf>
    <xf numFmtId="49" fontId="35" fillId="0" borderId="14" xfId="0" applyFont="1" applyBorder="1" applyNumberFormat="1">
      <alignment horizontal="center" vertical="center" wrapText="1"/>
    </xf>
    <xf numFmtId="49" fontId="35" fillId="0" borderId="13" xfId="0" applyFont="1" applyBorder="1" applyNumberFormat="1">
      <alignment horizontal="center" vertical="center" wrapText="1"/>
    </xf>
    <xf numFmtId="0" fontId="22" fillId="0" borderId="20" xfId="0" applyFont="1" applyBorder="1">
      <alignment horizontal="left" vertical="center" wrapText="1" indent="1"/>
    </xf>
    <xf numFmtId="0" fontId="22" fillId="0" borderId="17" xfId="0" applyFont="1" applyBorder="1">
      <alignment horizontal="left" vertical="center" wrapText="1" indent="1"/>
    </xf>
    <xf numFmtId="0" fontId="22" fillId="0" borderId="37" xfId="0" applyFont="1" applyBorder="1">
      <alignment horizontal="left" vertical="center" wrapText="1" indent="1"/>
    </xf>
    <xf numFmtId="0" fontId="22" fillId="0" borderId="29" xfId="0" applyFont="1" applyBorder="1">
      <alignment horizontal="left" vertical="center" indent="1"/>
    </xf>
    <xf numFmtId="0" fontId="22" fillId="0" borderId="23" xfId="0" applyFont="1" applyBorder="1">
      <alignment horizontal="left" vertical="center" indent="1"/>
    </xf>
    <xf numFmtId="0" fontId="22" fillId="0" borderId="30" xfId="0" applyFont="1" applyBorder="1">
      <alignment horizontal="left" vertical="center" indent="1"/>
    </xf>
    <xf numFmtId="0" fontId="22" fillId="0" borderId="0" xfId="0" applyFont="1">
      <alignment horizontal="center" vertical="center" wrapText="1"/>
    </xf>
    <xf numFmtId="0" fontId="22" fillId="42" borderId="0" xfId="0" applyFont="1" applyFill="1">
      <alignment horizontal="center" vertical="center" wrapText="1"/>
    </xf>
    <xf numFmtId="0" fontId="22" fillId="0" borderId="12" xfId="0" applyFont="1" applyBorder="1">
      <alignment horizontal="center" vertical="center" wrapText="1"/>
    </xf>
    <xf numFmtId="0" fontId="75" fillId="0" borderId="37" xfId="0" applyFont="1" applyBorder="1">
      <alignment horizontal="center" vertical="center" wrapText="1"/>
    </xf>
    <xf numFmtId="0" fontId="75" fillId="0" borderId="19" xfId="0" applyFont="1" applyBorder="1">
      <alignment horizontal="center" vertical="center" wrapText="1"/>
    </xf>
    <xf numFmtId="0" fontId="0" fillId="0" borderId="0" xfId="0" applyFont="1">
      <alignment horizontal="left" vertical="center" wrapText="1" indent="2"/>
    </xf>
    <xf numFmtId="0" fontId="0" fillId="0" borderId="0" xfId="0" applyFont="1">
      <alignment horizontal="left" vertical="center" indent="2"/>
    </xf>
    <xf numFmtId="0" fontId="75" fillId="0" borderId="12" xfId="0" applyFont="1" applyBorder="1">
      <alignment horizontal="center" vertical="center" wrapText="1"/>
    </xf>
    <xf numFmtId="0" fontId="22" fillId="0" borderId="71" xfId="0" applyFont="1" applyBorder="1">
      <alignment horizontal="center" vertical="center" wrapText="1"/>
    </xf>
    <xf numFmtId="0" fontId="22" fillId="0" borderId="72" xfId="0" applyFont="1" applyBorder="1">
      <alignment horizontal="center" vertical="center" wrapText="1"/>
    </xf>
    <xf numFmtId="0" fontId="0" fillId="0" borderId="12" xfId="0" applyFont="1" applyBorder="1">
      <alignment horizontal="center" vertical="top"/>
    </xf>
    <xf numFmtId="49" fontId="0" fillId="0" borderId="12" xfId="0" applyFont="1" applyBorder="1" applyNumberFormat="1">
      <alignment vertical="top"/>
    </xf>
    <xf numFmtId="49" fontId="22" fillId="0" borderId="19" xfId="0" applyFont="1" applyBorder="1" applyNumberFormat="1">
      <alignment horizontal="center" vertical="center" wrapText="1"/>
    </xf>
    <xf numFmtId="49" fontId="22" fillId="0" borderId="0" xfId="0" applyFont="1" applyNumberFormat="1">
      <alignment horizontal="center" vertical="center" wrapText="1"/>
    </xf>
    <xf numFmtId="0" fontId="0" fillId="0" borderId="19" xfId="0" applyFont="1" applyBorder="1">
      <alignment horizontal="left" vertical="center" wrapText="1"/>
    </xf>
    <xf numFmtId="0" fontId="0" fillId="0" borderId="0" xfId="0" applyFont="1">
      <alignment horizontal="left" vertical="center" wrapText="1"/>
    </xf>
    <xf numFmtId="49" fontId="0" fillId="0" borderId="0" xfId="0" applyFont="1" applyNumberFormat="1">
      <alignment horizontal="left" vertical="center" wrapText="1"/>
    </xf>
    <xf numFmtId="49" fontId="0" fillId="0" borderId="19" xfId="0" applyFont="1" applyBorder="1" applyNumberFormat="1">
      <alignment horizontal="left" vertical="center" wrapText="1"/>
    </xf>
    <xf numFmtId="0" fontId="22" fillId="0" borderId="12" xfId="0" applyFont="1" applyBorder="1">
      <alignment horizontal="left" vertical="top" wrapText="1"/>
    </xf>
    <xf numFmtId="49" fontId="0" fillId="0" borderId="12" xfId="0" applyFont="1" applyBorder="1" applyNumberFormat="1">
      <alignment horizontal="left" vertical="top"/>
    </xf>
    <xf numFmtId="0" fontId="22" fillId="40" borderId="17" xfId="0" applyFont="1" applyFill="1" applyBorder="1">
      <alignment horizontal="center" vertical="top" wrapText="1"/>
    </xf>
    <xf numFmtId="0" fontId="22" fillId="40" borderId="36" xfId="0" applyFont="1" applyFill="1" applyBorder="1">
      <alignment horizontal="center" vertical="top" wrapText="1"/>
    </xf>
    <xf numFmtId="0" fontId="22" fillId="40" borderId="23" xfId="0" applyFont="1" applyFill="1" applyBorder="1">
      <alignment horizontal="center" vertical="top" wrapText="1"/>
    </xf>
    <xf numFmtId="0" fontId="0" fillId="0" borderId="37" xfId="0" applyFont="1" applyBorder="1">
      <alignment horizontal="center" vertical="center"/>
    </xf>
    <xf numFmtId="0" fontId="0" fillId="0" borderId="22" xfId="0" applyFont="1" applyBorder="1">
      <alignment horizontal="center" vertical="center"/>
    </xf>
    <xf numFmtId="0" fontId="0" fillId="0" borderId="19" xfId="0" applyFont="1" applyBorder="1">
      <alignment horizontal="center" vertical="center"/>
    </xf>
    <xf numFmtId="0" fontId="0" fillId="0" borderId="0" xfId="0" applyFont="1">
      <alignment horizontal="center" vertical="center"/>
    </xf>
    <xf numFmtId="49" fontId="22" fillId="0" borderId="19" xfId="0" applyFont="1" applyBorder="1" applyNumberFormat="1">
      <alignment horizontal="left" vertical="center" wrapText="1"/>
    </xf>
    <xf numFmtId="49" fontId="22" fillId="0" borderId="0" xfId="0" applyFont="1" applyNumberFormat="1">
      <alignment horizontal="left" vertical="center" wrapText="1"/>
    </xf>
    <xf numFmtId="49" fontId="0" fillId="0" borderId="0" xfId="0" applyFont="1" applyNumberFormat="1">
      <alignment horizontal="left" vertical="top"/>
    </xf>
    <xf numFmtId="0" fontId="0" fillId="0" borderId="12" xfId="0" applyFont="1" applyBorder="1">
      <alignment horizontal="center" vertical="center" wrapText="1"/>
    </xf>
    <xf numFmtId="49" fontId="47" fillId="35" borderId="27" xfId="0" applyFont="1" applyFill="1" applyBorder="1" applyNumberFormat="1">
      <alignment horizontal="center" vertical="center" wrapText="1"/>
    </xf>
    <xf numFmtId="0" fontId="22" fillId="0" borderId="20" xfId="0" applyFont="1" applyBorder="1">
      <alignment horizontal="left" vertical="top" wrapText="1" indent="1"/>
    </xf>
    <xf numFmtId="0" fontId="22" fillId="0" borderId="17" xfId="0" applyFont="1" applyBorder="1">
      <alignment horizontal="left" vertical="top" wrapText="1" indent="1"/>
    </xf>
    <xf numFmtId="0" fontId="22" fillId="0" borderId="37" xfId="0" applyFont="1" applyBorder="1">
      <alignment horizontal="left" vertical="top" wrapText="1" indent="1"/>
    </xf>
    <xf numFmtId="0" fontId="72" fillId="0" borderId="24" xfId="0" applyFont="1" applyBorder="1">
      <alignment horizontal="left" vertical="center" wrapText="1" indent="1"/>
    </xf>
    <xf numFmtId="0" fontId="72" fillId="0" borderId="36" xfId="0" applyFont="1" applyBorder="1">
      <alignment horizontal="left" vertical="center" wrapText="1" indent="1"/>
    </xf>
    <xf numFmtId="0" fontId="72" fillId="0" borderId="22" xfId="0" applyFont="1" applyBorder="1">
      <alignment horizontal="left" vertical="center" wrapText="1" indent="1"/>
    </xf>
    <xf numFmtId="0" fontId="22" fillId="0" borderId="27" xfId="0" applyFont="1" applyBorder="1">
      <alignment horizontal="left" vertical="center" indent="1"/>
    </xf>
    <xf numFmtId="0" fontId="22" fillId="39" borderId="12" xfId="0" applyFont="1" applyFill="1" applyBorder="1">
      <alignment horizontal="left" vertical="top" wrapText="1"/>
      <protection locked="0"/>
    </xf>
    <xf numFmtId="0" fontId="0" fillId="39" borderId="12" xfId="0" applyFont="1" applyFill="1" applyBorder="1">
      <alignment horizontal="left" vertical="top"/>
      <protection locked="0"/>
    </xf>
    <xf numFmtId="0" fontId="0" fillId="0" borderId="17" xfId="0" applyFont="1" applyBorder="1">
      <alignment horizontal="center" vertical="top"/>
    </xf>
    <xf numFmtId="0" fontId="0" fillId="0" borderId="36" xfId="0" applyFont="1" applyBorder="1">
      <alignment horizontal="center" vertical="top"/>
    </xf>
    <xf numFmtId="0" fontId="0" fillId="0" borderId="23" xfId="0" applyFont="1" applyBorder="1">
      <alignment horizontal="center" vertical="top"/>
    </xf>
    <xf numFmtId="0" fontId="22" fillId="0" borderId="17" xfId="0" applyFont="1" applyBorder="1">
      <alignment horizontal="left" vertical="top" wrapText="1"/>
    </xf>
    <xf numFmtId="0" fontId="22" fillId="0" borderId="36" xfId="0" applyFont="1" applyBorder="1">
      <alignment horizontal="left" vertical="top" wrapText="1"/>
    </xf>
    <xf numFmtId="0" fontId="22" fillId="0" borderId="23" xfId="0" applyFont="1" applyBorder="1">
      <alignment horizontal="left" vertical="top" wrapText="1"/>
    </xf>
    <xf numFmtId="0" fontId="0" fillId="0" borderId="0" xfId="0" applyFont="1" quotePrefix="1">
      <alignment horizontal="left" vertical="top" wrapText="1" indent="1"/>
    </xf>
    <xf numFmtId="0" fontId="0" fillId="0" borderId="0" xfId="0" applyFont="1">
      <alignment horizontal="left" vertical="top" wrapText="1" indent="1"/>
    </xf>
    <xf numFmtId="0" fontId="0" fillId="0" borderId="0" xfId="0" applyFont="1">
      <alignment horizontal="left" vertical="top" wrapText="1"/>
    </xf>
    <xf numFmtId="0" fontId="22" fillId="0" borderId="17" xfId="0" applyFont="1" applyBorder="1">
      <alignment horizontal="center" vertical="center" wrapText="1"/>
    </xf>
    <xf numFmtId="0" fontId="22" fillId="0" borderId="27" xfId="0" applyFont="1" applyBorder="1">
      <alignment horizontal="left" vertical="center" wrapText="1" indent="1"/>
    </xf>
    <xf numFmtId="0" fontId="39" fillId="0" borderId="0" xfId="0" applyFont="1">
      <alignment horizontal="left" vertical="center"/>
    </xf>
    <xf numFmtId="0" fontId="39" fillId="0" borderId="24" xfId="0" applyFont="1" applyBorder="1">
      <alignment horizontal="left" vertical="center"/>
    </xf>
    <xf numFmtId="0" fontId="22" fillId="0" borderId="12" xfId="0" applyFont="1" applyBorder="1">
      <alignment horizontal="left" vertical="center" wrapText="1"/>
    </xf>
    <xf numFmtId="0" fontId="22" fillId="0" borderId="37" xfId="0" applyFont="1" applyBorder="1">
      <alignment horizontal="left" vertical="center" wrapText="1"/>
    </xf>
    <xf numFmtId="0" fontId="22" fillId="0" borderId="19" xfId="0" applyFont="1" applyBorder="1">
      <alignment horizontal="center" vertical="center"/>
    </xf>
    <xf numFmtId="0" fontId="22" fillId="0" borderId="0" xfId="0" applyFont="1">
      <alignment horizontal="center" vertical="center"/>
    </xf>
    <xf numFmtId="49" fontId="22" fillId="0" borderId="12" xfId="0" applyFont="1" applyBorder="1" applyNumberFormat="1">
      <alignment horizontal="center" vertical="center"/>
    </xf>
    <xf numFmtId="0" fontId="22" fillId="0" borderId="14" xfId="0" applyFont="1" applyBorder="1">
      <alignment horizontal="left" vertical="center" wrapText="1"/>
    </xf>
    <xf numFmtId="49" fontId="22" fillId="40" borderId="17" xfId="0" applyFont="1" applyFill="1" applyBorder="1" applyNumberFormat="1">
      <alignment horizontal="center" vertical="center" wrapText="1"/>
    </xf>
    <xf numFmtId="49" fontId="22" fillId="40" borderId="36" xfId="0" applyFont="1" applyFill="1" applyBorder="1" applyNumberFormat="1">
      <alignment horizontal="center" vertical="center" wrapText="1"/>
    </xf>
    <xf numFmtId="0" fontId="39" fillId="0" borderId="27" xfId="0" applyFont="1" applyBorder="1">
      <alignment horizontal="left" vertical="center"/>
    </xf>
    <xf numFmtId="0" fontId="39" fillId="0" borderId="29" xfId="0" applyFont="1" applyBorder="1">
      <alignment horizontal="left" vertical="center"/>
    </xf>
    <xf numFmtId="49" fontId="22" fillId="0" borderId="17" xfId="0" applyFont="1" applyBorder="1" applyNumberFormat="1">
      <alignment horizontal="center" vertical="center"/>
    </xf>
    <xf numFmtId="0" fontId="22" fillId="0" borderId="17" xfId="0" applyFont="1" applyBorder="1">
      <alignment horizontal="left" vertical="center" wrapText="1"/>
    </xf>
    <xf numFmtId="0" fontId="22" fillId="0" borderId="19" xfId="0" applyFont="1" applyBorder="1">
      <alignment horizontal="left" vertical="center" wrapText="1" indent="1"/>
    </xf>
    <xf numFmtId="0" fontId="22" fillId="0" borderId="37" xfId="0" applyFont="1" applyBorder="1">
      <alignment horizontal="center" vertical="center" wrapText="1"/>
    </xf>
    <xf numFmtId="0" fontId="22" fillId="0" borderId="20" xfId="0" applyFont="1" applyBorder="1">
      <alignment horizontal="center" vertical="center" wrapText="1"/>
    </xf>
    <xf numFmtId="0" fontId="22" fillId="0" borderId="22" xfId="0" applyFont="1" applyBorder="1">
      <alignment horizontal="center" vertical="center" wrapText="1"/>
    </xf>
    <xf numFmtId="0" fontId="22" fillId="0" borderId="24" xfId="0" applyFont="1" applyBorder="1">
      <alignment horizontal="center" vertical="center" wrapText="1"/>
    </xf>
    <xf numFmtId="0" fontId="22" fillId="0" borderId="17" xfId="0" applyFont="1" applyBorder="1">
      <alignment horizontal="center" vertical="center" wrapText="1"/>
    </xf>
    <xf numFmtId="0" fontId="22" fillId="0" borderId="15" xfId="0" applyFont="1" applyBorder="1">
      <alignment horizontal="center" vertical="center" wrapText="1"/>
    </xf>
    <xf numFmtId="0" fontId="22" fillId="0" borderId="12" xfId="0" applyFont="1" applyBorder="1">
      <alignment horizontal="center" vertical="center" wrapText="1"/>
    </xf>
    <xf numFmtId="0" fontId="22" fillId="0" borderId="36" xfId="0" applyFont="1" applyBorder="1">
      <alignment horizontal="center" vertical="center" wrapText="1"/>
    </xf>
    <xf numFmtId="0" fontId="22" fillId="0" borderId="30" xfId="0" applyFont="1" applyBorder="1">
      <alignment horizontal="center" vertical="center" wrapText="1"/>
    </xf>
    <xf numFmtId="0" fontId="22" fillId="0" borderId="29" xfId="0" applyFont="1" applyBorder="1">
      <alignment horizontal="center" vertical="center" wrapText="1"/>
    </xf>
    <xf numFmtId="49" fontId="22" fillId="35" borderId="0" xfId="0" applyFont="1" applyFill="1" applyNumberFormat="1">
      <alignment horizontal="center" vertical="center" wrapText="1"/>
    </xf>
    <xf numFmtId="0" fontId="44" fillId="0" borderId="0" xfId="0" applyFont="1">
      <alignment horizontal="right" vertical="top" wrapText="1"/>
    </xf>
    <xf numFmtId="49" fontId="0" fillId="35" borderId="12" xfId="0" applyFont="1" applyFill="1" applyBorder="1" applyNumberFormat="1">
      <alignment horizontal="center" vertical="center" wrapText="1"/>
    </xf>
    <xf numFmtId="49" fontId="22" fillId="35" borderId="12" xfId="0" applyFont="1" applyFill="1" applyBorder="1" applyNumberFormat="1">
      <alignment horizontal="center" vertical="center" wrapText="1"/>
    </xf>
    <xf numFmtId="0" fontId="44" fillId="0" borderId="0" xfId="0" applyFont="1">
      <alignment horizontal="left" vertical="top" wrapText="1" indent="1"/>
    </xf>
    <xf numFmtId="0" fontId="93" fillId="35" borderId="0" xfId="0" applyFont="1" applyFill="1">
      <alignment horizontal="left" vertical="center" wrapText="1"/>
    </xf>
    <xf numFmtId="0" fontId="0" fillId="35" borderId="12" xfId="0" applyFont="1" applyFill="1" applyBorder="1">
      <alignment horizontal="center" vertical="center" wrapText="1"/>
    </xf>
    <xf numFmtId="0" fontId="22" fillId="35" borderId="12" xfId="0" applyFont="1" applyFill="1" applyBorder="1">
      <alignment horizontal="center" vertical="center" wrapText="1"/>
    </xf>
    <xf numFmtId="0" fontId="22" fillId="35" borderId="17" xfId="0" applyFont="1" applyFill="1" applyBorder="1">
      <alignment horizontal="left" vertical="top" wrapText="1"/>
    </xf>
    <xf numFmtId="0" fontId="22" fillId="35" borderId="36" xfId="0" applyFont="1" applyFill="1" applyBorder="1">
      <alignment horizontal="left" vertical="top" wrapText="1"/>
    </xf>
    <xf numFmtId="0" fontId="22" fillId="35" borderId="23" xfId="0" applyFont="1" applyFill="1" applyBorder="1">
      <alignment horizontal="left" vertical="top" wrapText="1"/>
    </xf>
    <xf numFmtId="0" fontId="22" fillId="35" borderId="24" xfId="0" applyFont="1" applyFill="1" applyBorder="1">
      <alignment horizontal="center" vertical="center" wrapText="1"/>
    </xf>
    <xf numFmtId="0" fontId="22" fillId="0" borderId="29" xfId="0" applyFont="1" applyBorder="1">
      <alignment horizontal="left" vertical="center" wrapText="1" indent="1"/>
    </xf>
    <xf numFmtId="0" fontId="22" fillId="0" borderId="23" xfId="0" applyFont="1" applyBorder="1">
      <alignment horizontal="left" vertical="center" wrapText="1" indent="1"/>
    </xf>
    <xf numFmtId="0" fontId="22" fillId="0" borderId="30" xfId="0" applyFont="1" applyBorder="1">
      <alignment horizontal="left" vertical="center" wrapText="1" indent="1"/>
    </xf>
    <xf numFmtId="0" fontId="46" fillId="0" borderId="0" xfId="0" applyFont="1">
      <alignment horizontal="center" vertical="center" wrapText="1"/>
    </xf>
    <xf numFmtId="0" fontId="0" fillId="0" borderId="14" xfId="0" applyFont="1" applyBorder="1">
      <alignment horizontal="center" vertical="center" wrapText="1"/>
    </xf>
    <xf numFmtId="0" fontId="0" fillId="0" borderId="15" xfId="0" applyFont="1" applyBorder="1">
      <alignment horizontal="center" vertical="center" wrapText="1"/>
    </xf>
    <xf numFmtId="0" fontId="0" fillId="0" borderId="13" xfId="0" applyFont="1" applyBorder="1">
      <alignment horizontal="center" vertical="center" wrapText="1"/>
    </xf>
    <xf numFmtId="0" fontId="0" fillId="0" borderId="17" xfId="0" applyFont="1" applyBorder="1">
      <alignment horizontal="left" vertical="top" wrapText="1"/>
    </xf>
    <xf numFmtId="0" fontId="0" fillId="0" borderId="23" xfId="0" applyFont="1" applyBorder="1">
      <alignment horizontal="left" vertical="top" wrapText="1"/>
    </xf>
    <xf numFmtId="0" fontId="0" fillId="0" borderId="12" xfId="0" applyFont="1" applyBorder="1">
      <alignment horizontal="center" vertical="center" wrapText="1"/>
    </xf>
    <xf numFmtId="0" fontId="0" fillId="0" borderId="17" xfId="0" applyFont="1" applyBorder="1">
      <alignment horizontal="center" vertical="center" wrapText="1"/>
    </xf>
    <xf numFmtId="0" fontId="0" fillId="0" borderId="23" xfId="0" applyFont="1" applyBorder="1">
      <alignment horizontal="center" vertical="center" wrapText="1"/>
    </xf>
    <xf numFmtId="0" fontId="0" fillId="0" borderId="37" xfId="0" applyFont="1" applyBorder="1">
      <alignment horizontal="center" vertical="center" wrapText="1"/>
    </xf>
    <xf numFmtId="0" fontId="0" fillId="0" borderId="30" xfId="0" applyFont="1" applyBorder="1">
      <alignment horizontal="center" vertical="center" wrapText="1"/>
    </xf>
    <xf numFmtId="0" fontId="0" fillId="0" borderId="17" xfId="0" applyFont="1" applyBorder="1">
      <alignment horizontal="center" vertical="center" wrapText="1"/>
    </xf>
    <xf numFmtId="0" fontId="0" fillId="0" borderId="23" xfId="0" applyFont="1" applyBorder="1">
      <alignment horizontal="center" vertical="center" wrapText="1"/>
    </xf>
    <xf numFmtId="0" fontId="0" fillId="0" borderId="20" xfId="0" applyFont="1" applyBorder="1">
      <alignment horizontal="center" vertical="center" wrapText="1"/>
    </xf>
    <xf numFmtId="0" fontId="0" fillId="0" borderId="29" xfId="0" applyFont="1" applyBorder="1">
      <alignment horizontal="center" vertical="center" wrapText="1"/>
    </xf>
    <xf numFmtId="0" fontId="22" fillId="0" borderId="23" xfId="0" applyFont="1" applyBorder="1">
      <alignment horizontal="center" vertical="center" wrapText="1"/>
    </xf>
    <xf numFmtId="49" fontId="0" fillId="0" borderId="37" xfId="0" applyFont="1" applyBorder="1" applyNumberFormat="1">
      <alignment horizontal="center" vertical="center" wrapText="1"/>
    </xf>
    <xf numFmtId="49" fontId="0" fillId="0" borderId="30" xfId="0" applyFont="1" applyBorder="1" applyNumberFormat="1">
      <alignment horizontal="center" vertical="center" wrapText="1"/>
    </xf>
    <xf numFmtId="0" fontId="22" fillId="40" borderId="19" xfId="0" applyFont="1" applyFill="1" applyBorder="1">
      <alignment horizontal="left" vertical="center" wrapText="1"/>
    </xf>
    <xf numFmtId="0" fontId="22" fillId="40" borderId="27" xfId="0" applyFont="1" applyFill="1" applyBorder="1">
      <alignment horizontal="left" vertical="center" wrapText="1"/>
    </xf>
    <xf numFmtId="0" fontId="22" fillId="0" borderId="19" xfId="0" applyFont="1" applyBorder="1">
      <alignment horizontal="left" vertical="top" wrapText="1" indent="1"/>
    </xf>
    <xf numFmtId="0" fontId="22" fillId="0" borderId="20" xfId="0" applyFont="1" applyBorder="1">
      <alignment horizontal="left" vertical="center" wrapText="1" indent="1"/>
    </xf>
    <xf numFmtId="0" fontId="22" fillId="0" borderId="17" xfId="0" applyFont="1" applyBorder="1">
      <alignment horizontal="left" vertical="center" wrapText="1" indent="1"/>
    </xf>
    <xf numFmtId="0" fontId="22" fillId="0" borderId="37" xfId="0" applyFont="1" applyBorder="1">
      <alignment horizontal="left" vertical="center" wrapText="1" indent="1"/>
    </xf>
    <xf numFmtId="0" fontId="0" fillId="0" borderId="36" xfId="0" applyFont="1" applyBorder="1">
      <alignment horizontal="left" vertical="top" wrapText="1"/>
    </xf>
    <xf numFmtId="0" fontId="22" fillId="34" borderId="14" xfId="0" applyFont="1" applyFill="1" applyBorder="1">
      <alignment horizontal="left" vertical="center" wrapText="1"/>
    </xf>
    <xf numFmtId="0" fontId="22" fillId="34" borderId="15" xfId="0" applyFont="1" applyFill="1" applyBorder="1">
      <alignment horizontal="left" vertical="center" wrapText="1"/>
    </xf>
    <xf numFmtId="0" fontId="22" fillId="34" borderId="13" xfId="0" applyFont="1" applyFill="1" applyBorder="1">
      <alignment horizontal="left" vertical="center" wrapText="1"/>
    </xf>
    <xf numFmtId="0" fontId="22" fillId="40" borderId="14" xfId="0" applyFont="1" applyFill="1" applyBorder="1">
      <alignment horizontal="left" vertical="center" wrapText="1"/>
    </xf>
    <xf numFmtId="0" fontId="22" fillId="40" borderId="15" xfId="0" applyFont="1" applyFill="1" applyBorder="1">
      <alignment horizontal="left" vertical="center" wrapText="1"/>
    </xf>
    <xf numFmtId="0" fontId="22" fillId="40" borderId="13" xfId="0" applyFont="1" applyFill="1" applyBorder="1">
      <alignment horizontal="left" vertical="center" wrapText="1"/>
    </xf>
    <xf numFmtId="0" fontId="22" fillId="0" borderId="19" xfId="0" applyFont="1" applyBorder="1">
      <alignment horizontal="left" vertical="top" wrapText="1" indent="1"/>
    </xf>
    <xf numFmtId="0" fontId="22" fillId="0" borderId="27" xfId="0" applyFont="1" applyBorder="1">
      <alignment horizontal="left" vertical="center" wrapText="1" indent="1"/>
    </xf>
    <xf numFmtId="0" fontId="0" fillId="35" borderId="12" xfId="0" applyFont="1" applyFill="1" applyBorder="1">
      <alignment horizontal="right" vertical="center" wrapText="1" indent="1"/>
    </xf>
    <xf numFmtId="0" fontId="22" fillId="34" borderId="12" xfId="0" applyFont="1" applyFill="1" applyBorder="1">
      <alignment horizontal="left" vertical="center" wrapText="1" indent="1"/>
    </xf>
    <xf numFmtId="0" fontId="36" fillId="0" borderId="27" xfId="0" applyFont="1" applyBorder="1">
      <alignment horizontal="center" vertical="center" wrapText="1"/>
    </xf>
    <xf numFmtId="0" fontId="44" fillId="0" borderId="17" xfId="0" applyFont="1" applyBorder="1">
      <alignment horizontal="left" vertical="top" wrapText="1"/>
    </xf>
    <xf numFmtId="0" fontId="44" fillId="0" borderId="36" xfId="0" applyFont="1" applyBorder="1">
      <alignment horizontal="left" vertical="top" wrapText="1"/>
    </xf>
    <xf numFmtId="0" fontId="44" fillId="0" borderId="23" xfId="0" applyFont="1" applyBorder="1">
      <alignment horizontal="left" vertical="top" wrapText="1"/>
    </xf>
    <xf numFmtId="0" fontId="46" fillId="0" borderId="12" xfId="0" applyFont="1" applyBorder="1">
      <alignment horizontal="center" vertical="center" wrapText="1"/>
    </xf>
    <xf numFmtId="0" fontId="47" fillId="0" borderId="0" xfId="0" applyFont="1">
      <alignment horizontal="center" vertical="center" wrapText="1"/>
    </xf>
    <xf numFmtId="0" fontId="46" fillId="0" borderId="12" xfId="0" applyFont="1" applyBorder="1">
      <alignment horizontal="center" vertical="center"/>
    </xf>
    <xf numFmtId="0" fontId="46" fillId="0" borderId="14" xfId="0" applyFont="1" applyBorder="1">
      <alignment horizontal="center" vertical="center"/>
    </xf>
    <xf numFmtId="0" fontId="22" fillId="0" borderId="17" xfId="0" applyFont="1" applyBorder="1">
      <alignment horizontal="center" vertical="center" wrapText="1"/>
    </xf>
    <xf numFmtId="0" fontId="22" fillId="0" borderId="23" xfId="0" applyFont="1" applyBorder="1">
      <alignment horizontal="center" vertical="center" wrapText="1"/>
    </xf>
    <xf numFmtId="0" fontId="22" fillId="0" borderId="14" xfId="0" applyFont="1" applyBorder="1">
      <alignment horizontal="center" vertical="center" wrapText="1"/>
    </xf>
    <xf numFmtId="0" fontId="22" fillId="0" borderId="13" xfId="0" applyFont="1" applyBorder="1">
      <alignment horizontal="center" vertical="center" wrapText="1"/>
    </xf>
    <xf numFmtId="179" fontId="22" fillId="34" borderId="12" xfId="0" applyFont="1" applyFill="1" applyBorder="1" applyNumberFormat="1">
      <alignment horizontal="left" vertical="center" wrapText="1" indent="1"/>
    </xf>
    <xf numFmtId="179" fontId="0" fillId="39" borderId="12" xfId="0" applyFont="1" applyFill="1" applyBorder="1" applyNumberFormat="1">
      <alignment horizontal="center" vertical="center" wrapText="1"/>
      <protection locked="0"/>
    </xf>
    <xf numFmtId="49" fontId="0" fillId="39" borderId="12" xfId="0" applyFont="1" applyFill="1" applyBorder="1" applyNumberFormat="1">
      <alignment horizontal="center" vertical="center" wrapText="1"/>
      <protection locked="0"/>
    </xf>
    <xf numFmtId="179" fontId="46" fillId="0" borderId="12" xfId="0" applyFont="1" applyBorder="1" applyNumberFormat="1">
      <alignment horizontal="center" vertical="center" wrapText="1"/>
    </xf>
    <xf numFmtId="49" fontId="46" fillId="0" borderId="12" xfId="0" applyFont="1" applyBorder="1" applyNumberFormat="1">
      <alignment horizontal="center" vertical="center" wrapText="1"/>
    </xf>
    <xf numFmtId="0" fontId="22" fillId="0" borderId="15" xfId="0" applyFont="1" applyBorder="1">
      <alignment horizontal="center" vertical="center" wrapText="1"/>
    </xf>
    <xf numFmtId="0" fontId="0" fillId="0" borderId="14" xfId="0" applyFont="1" applyBorder="1">
      <alignment horizontal="center" vertical="center" wrapText="1"/>
    </xf>
    <xf numFmtId="0" fontId="0" fillId="0" borderId="13" xfId="0" applyFont="1" applyBorder="1">
      <alignment horizontal="center" vertical="center" wrapText="1"/>
    </xf>
    <xf numFmtId="0" fontId="80" fillId="35" borderId="19" xfId="0" applyFont="1" applyFill="1" applyBorder="1">
      <alignment horizontal="center" vertical="center" wrapText="1"/>
    </xf>
    <xf numFmtId="0" fontId="22" fillId="35" borderId="12" xfId="0" applyFont="1" applyFill="1" applyBorder="1">
      <alignment horizontal="left" vertical="center" wrapText="1"/>
    </xf>
    <xf numFmtId="0" fontId="0" fillId="35" borderId="14" xfId="0" applyFont="1" applyFill="1" applyBorder="1">
      <alignment horizontal="center" vertical="center" wrapText="1"/>
    </xf>
    <xf numFmtId="0" fontId="0" fillId="35" borderId="15" xfId="0" applyFont="1" applyFill="1" applyBorder="1">
      <alignment horizontal="center" vertical="center" wrapText="1"/>
    </xf>
    <xf numFmtId="0" fontId="0" fillId="35" borderId="13" xfId="0" applyFont="1" applyFill="1" applyBorder="1">
      <alignment horizontal="center" vertical="center" wrapText="1"/>
    </xf>
    <xf numFmtId="0" fontId="22" fillId="35" borderId="17" xfId="0" applyFont="1" applyFill="1" applyBorder="1">
      <alignment horizontal="center" vertical="center" wrapText="1"/>
    </xf>
    <xf numFmtId="0" fontId="22" fillId="35" borderId="36" xfId="0" applyFont="1" applyFill="1" applyBorder="1">
      <alignment horizontal="center" vertical="center" wrapText="1"/>
    </xf>
    <xf numFmtId="0" fontId="22" fillId="35" borderId="23" xfId="0" applyFont="1" applyFill="1" applyBorder="1">
      <alignment horizontal="center" vertical="center" wrapText="1"/>
    </xf>
    <xf numFmtId="49" fontId="39" fillId="37" borderId="17" xfId="0" applyFont="1" applyFill="1" applyBorder="1" applyNumberFormat="1">
      <alignment horizontal="center" vertical="center" textRotation="90" wrapText="1"/>
    </xf>
    <xf numFmtId="49" fontId="39" fillId="37" borderId="36" xfId="0" applyFont="1" applyFill="1" applyBorder="1" applyNumberFormat="1">
      <alignment horizontal="center" vertical="center" textRotation="90" wrapText="1"/>
    </xf>
    <xf numFmtId="49" fontId="39" fillId="37" borderId="23" xfId="0" applyFont="1" applyFill="1" applyBorder="1" applyNumberFormat="1">
      <alignment horizontal="center" vertical="center" textRotation="90" wrapText="1"/>
    </xf>
    <xf numFmtId="0" fontId="46" fillId="0" borderId="17" xfId="0" applyFont="1" applyBorder="1">
      <alignment horizontal="center" vertical="center" wrapText="1"/>
    </xf>
    <xf numFmtId="0" fontId="46" fillId="0" borderId="23" xfId="0" applyFont="1" applyBorder="1">
      <alignment horizontal="center" vertical="center" wrapText="1"/>
    </xf>
    <xf numFmtId="0" fontId="22" fillId="0" borderId="0" xfId="0" applyFont="1">
      <alignment horizontal="left" vertical="top" wrapText="1"/>
    </xf>
    <xf numFmtId="0" fontId="46" fillId="0" borderId="14" xfId="0" applyFont="1" applyBorder="1">
      <alignment horizontal="center" vertical="center" wrapText="1"/>
    </xf>
    <xf numFmtId="179" fontId="0" fillId="39" borderId="17" xfId="0" applyFont="1" applyFill="1" applyBorder="1" applyNumberFormat="1">
      <alignment horizontal="center" vertical="center" wrapText="1"/>
      <protection locked="0"/>
    </xf>
    <xf numFmtId="49" fontId="0" fillId="39" borderId="23" xfId="0" applyFont="1" applyFill="1" applyBorder="1" applyNumberFormat="1">
      <alignment horizontal="center" vertical="center" wrapText="1"/>
      <protection locked="0"/>
    </xf>
    <xf numFmtId="0" fontId="22" fillId="0" borderId="12" xfId="0" applyFont="1" applyBorder="1">
      <alignment horizontal="center" vertical="center"/>
    </xf>
    <xf numFmtId="0" fontId="22" fillId="0" borderId="14" xfId="0" applyFont="1" applyBorder="1">
      <alignment horizontal="center" vertical="center"/>
    </xf>
    <xf numFmtId="0" fontId="0" fillId="35" borderId="19" xfId="0" applyFont="1" applyFill="1" applyBorder="1">
      <alignment horizontal="center" vertical="center" wrapText="1"/>
    </xf>
    <xf numFmtId="0" fontId="47" fillId="0" borderId="17" xfId="0" applyFont="1" applyBorder="1">
      <alignment horizontal="center" vertical="center" wrapText="1"/>
    </xf>
    <xf numFmtId="0" fontId="47" fillId="0" borderId="23" xfId="0" applyFont="1" applyBorder="1">
      <alignment horizontal="center" vertical="center" wrapText="1"/>
    </xf>
    <xf numFmtId="0" fontId="22" fillId="0" borderId="37" xfId="0" applyFont="1" applyBorder="1">
      <alignment horizontal="center" vertical="center" wrapText="1"/>
    </xf>
    <xf numFmtId="0" fontId="22" fillId="0" borderId="30" xfId="0" applyFont="1" applyBorder="1">
      <alignment horizontal="center" vertical="center" wrapText="1"/>
    </xf>
    <xf numFmtId="0" fontId="47" fillId="0" borderId="14" xfId="0" applyFont="1" applyBorder="1">
      <alignment horizontal="left" vertical="center" wrapText="1"/>
    </xf>
    <xf numFmtId="0" fontId="47" fillId="0" borderId="15" xfId="0" applyFont="1" applyBorder="1">
      <alignment horizontal="left" vertical="center" wrapText="1"/>
    </xf>
    <xf numFmtId="0" fontId="47" fillId="0" borderId="13" xfId="0" applyFont="1" applyBorder="1">
      <alignment horizontal="left" vertical="center" wrapText="1"/>
    </xf>
    <xf numFmtId="0" fontId="0" fillId="0" borderId="0" xfId="0" applyFont="1">
      <alignment horizontal="left" vertical="top" wrapText="1"/>
    </xf>
    <xf numFmtId="0" fontId="22" fillId="34" borderId="37" xfId="0" applyFont="1" applyFill="1" applyBorder="1">
      <alignment horizontal="left" vertical="center" wrapText="1"/>
    </xf>
    <xf numFmtId="0" fontId="22" fillId="34" borderId="19" xfId="0" applyFont="1" applyFill="1" applyBorder="1">
      <alignment horizontal="left" vertical="center" wrapText="1"/>
    </xf>
    <xf numFmtId="0" fontId="22" fillId="34" borderId="20" xfId="0" applyFont="1" applyFill="1" applyBorder="1">
      <alignment horizontal="left" vertical="center" wrapText="1"/>
    </xf>
    <xf numFmtId="0" fontId="22" fillId="34" borderId="12" xfId="0" applyFont="1" applyFill="1" applyBorder="1">
      <alignment horizontal="left" vertical="center" wrapText="1"/>
    </xf>
    <xf numFmtId="0" fontId="47" fillId="0" borderId="12" xfId="0" applyFont="1" applyBorder="1">
      <alignment horizontal="left" vertical="center" wrapText="1"/>
    </xf>
    <xf numFmtId="0" fontId="22" fillId="40" borderId="12" xfId="0" applyFont="1" applyFill="1" applyBorder="1">
      <alignment horizontal="left" vertical="center" wrapText="1"/>
    </xf>
    <xf numFmtId="179" fontId="0" fillId="39" borderId="23" xfId="0" applyFont="1" applyFill="1" applyBorder="1" applyNumberFormat="1">
      <alignment horizontal="center" vertical="center" wrapText="1"/>
      <protection locked="0"/>
    </xf>
    <xf numFmtId="0" fontId="22" fillId="0" borderId="19" xfId="0" applyFont="1" applyBorder="1">
      <alignment horizontal="left" vertical="center" wrapText="1" indent="1"/>
    </xf>
    <xf numFmtId="0" fontId="22" fillId="40" borderId="20" xfId="0" applyFont="1" applyFill="1" applyBorder="1">
      <alignment horizontal="left" vertical="center" wrapText="1"/>
    </xf>
    <xf numFmtId="49" fontId="0" fillId="39" borderId="12" xfId="0" applyFont="1" applyFill="1" applyBorder="1" applyNumberFormat="1">
      <alignment horizontal="center" vertical="center" wrapText="1"/>
      <protection locked="0"/>
    </xf>
    <xf numFmtId="0" fontId="22" fillId="0" borderId="12" xfId="0" applyFont="1" applyBorder="1">
      <alignment horizontal="center" vertical="center"/>
    </xf>
    <xf numFmtId="0" fontId="22" fillId="0" borderId="14" xfId="0" applyFont="1" applyBorder="1">
      <alignment horizontal="center" vertical="center"/>
    </xf>
    <xf numFmtId="0" fontId="22" fillId="0" borderId="12" xfId="0" applyFont="1" applyBorder="1">
      <alignment horizontal="center" vertical="center" wrapText="1"/>
    </xf>
    <xf numFmtId="0" fontId="22" fillId="0" borderId="19" xfId="0" applyFont="1" applyBorder="1">
      <alignment horizontal="center" vertical="center" wrapText="1"/>
    </xf>
    <xf numFmtId="0" fontId="22" fillId="0" borderId="20" xfId="0" applyFont="1" applyBorder="1">
      <alignment horizontal="center" vertical="center" wrapText="1"/>
    </xf>
    <xf numFmtId="0" fontId="22" fillId="0" borderId="27" xfId="0" applyFont="1" applyBorder="1">
      <alignment horizontal="center" vertical="center" wrapText="1"/>
    </xf>
    <xf numFmtId="0" fontId="22" fillId="0" borderId="29" xfId="0" applyFont="1" applyBorder="1">
      <alignment horizontal="center" vertical="center" wrapText="1"/>
    </xf>
    <xf numFmtId="0" fontId="0" fillId="0" borderId="17" xfId="0" applyFont="1" applyBorder="1">
      <alignment horizontal="center" vertical="center" wrapText="1"/>
    </xf>
    <xf numFmtId="0" fontId="0" fillId="0" borderId="36" xfId="0" applyFont="1" applyBorder="1">
      <alignment horizontal="center" vertical="center" wrapText="1"/>
    </xf>
    <xf numFmtId="0" fontId="0" fillId="0" borderId="23" xfId="0" applyFont="1" applyBorder="1">
      <alignment horizontal="center" vertical="center" wrapText="1"/>
    </xf>
    <xf numFmtId="0" fontId="0" fillId="0" borderId="15" xfId="0" applyFont="1" applyBorder="1">
      <alignment horizontal="center" vertical="center" wrapText="1"/>
    </xf>
    <xf numFmtId="0" fontId="0" fillId="0" borderId="37" xfId="0" applyFont="1" applyBorder="1">
      <alignment horizontal="center" vertical="center" wrapText="1"/>
    </xf>
    <xf numFmtId="0" fontId="0" fillId="0" borderId="20" xfId="0" applyFont="1" applyBorder="1">
      <alignment horizontal="center" vertical="center" wrapText="1"/>
    </xf>
    <xf numFmtId="0" fontId="0" fillId="0" borderId="30" xfId="0" applyFont="1" applyBorder="1">
      <alignment horizontal="center" vertical="center" wrapText="1"/>
    </xf>
    <xf numFmtId="0" fontId="0" fillId="0" borderId="29" xfId="0" applyFont="1" applyBorder="1">
      <alignment horizontal="center" vertical="center" wrapText="1"/>
    </xf>
    <xf numFmtId="0" fontId="22" fillId="0" borderId="22" xfId="0" applyFont="1" applyBorder="1">
      <alignment horizontal="center" vertical="center" wrapText="1"/>
    </xf>
    <xf numFmtId="0" fontId="36" fillId="0" borderId="12" xfId="0" applyFont="1" applyBorder="1">
      <alignment horizontal="center" vertical="center" wrapText="1"/>
    </xf>
    <xf numFmtId="49" fontId="22" fillId="40" borderId="12" xfId="0" applyFont="1" applyFill="1" applyBorder="1" applyNumberFormat="1">
      <alignment horizontal="left" vertical="center" wrapText="1" indent="1"/>
    </xf>
    <xf numFmtId="0" fontId="0" fillId="35" borderId="37" xfId="0" applyFont="1" applyFill="1" applyBorder="1">
      <alignment horizontal="center" vertical="center" wrapText="1"/>
    </xf>
    <xf numFmtId="0" fontId="0" fillId="35" borderId="20" xfId="0" applyFont="1" applyFill="1" applyBorder="1">
      <alignment horizontal="center" vertical="center" wrapText="1"/>
    </xf>
    <xf numFmtId="0" fontId="0" fillId="35" borderId="22" xfId="0" applyFont="1" applyFill="1" applyBorder="1">
      <alignment horizontal="center" vertical="center" wrapText="1"/>
    </xf>
    <xf numFmtId="0" fontId="0" fillId="35" borderId="0" xfId="0" applyFont="1" applyFill="1">
      <alignment horizontal="center" vertical="center" wrapText="1"/>
    </xf>
    <xf numFmtId="0" fontId="0" fillId="35" borderId="24" xfId="0" applyFont="1" applyFill="1" applyBorder="1">
      <alignment horizontal="center" vertical="center" wrapText="1"/>
    </xf>
    <xf numFmtId="0" fontId="0" fillId="35" borderId="30" xfId="0" applyFont="1" applyFill="1" applyBorder="1">
      <alignment horizontal="center" vertical="center" wrapText="1"/>
    </xf>
    <xf numFmtId="0" fontId="0" fillId="35" borderId="27" xfId="0" applyFont="1" applyFill="1" applyBorder="1">
      <alignment horizontal="center" vertical="center" wrapText="1"/>
    </xf>
    <xf numFmtId="0" fontId="0" fillId="35" borderId="29" xfId="0" applyFont="1" applyFill="1" applyBorder="1">
      <alignment horizontal="center" vertical="center" wrapText="1"/>
    </xf>
    <xf numFmtId="0" fontId="22" fillId="35" borderId="37" xfId="0" applyFont="1" applyFill="1" applyBorder="1">
      <alignment horizontal="center" vertical="center" wrapText="1"/>
    </xf>
    <xf numFmtId="0" fontId="22" fillId="35" borderId="22" xfId="0" applyFont="1" applyFill="1" applyBorder="1">
      <alignment horizontal="center" vertical="center" wrapText="1"/>
    </xf>
    <xf numFmtId="0" fontId="22" fillId="35" borderId="30" xfId="0" applyFont="1" applyFill="1" applyBorder="1">
      <alignment horizontal="center" vertical="center" wrapText="1"/>
    </xf>
    <xf numFmtId="0" fontId="22" fillId="39" borderId="12" xfId="0" applyFont="1" applyFill="1" applyBorder="1">
      <alignment horizontal="center" vertical="center" wrapText="1"/>
      <protection locked="0"/>
    </xf>
    <xf numFmtId="0" fontId="22" fillId="34" borderId="12" xfId="0" applyFont="1" applyFill="1" applyBorder="1">
      <alignment horizontal="center" vertical="center" wrapText="1"/>
    </xf>
    <xf numFmtId="0" fontId="22" fillId="35" borderId="17" xfId="0" applyFont="1" applyFill="1" applyBorder="1">
      <alignment horizontal="left" vertical="center" wrapText="1"/>
    </xf>
    <xf numFmtId="0" fontId="22" fillId="35" borderId="36" xfId="0" applyFont="1" applyFill="1" applyBorder="1">
      <alignment horizontal="left" vertical="center" wrapText="1"/>
    </xf>
    <xf numFmtId="0" fontId="22" fillId="35" borderId="23" xfId="0" applyFont="1" applyFill="1" applyBorder="1">
      <alignment horizontal="left" vertical="center" wrapText="1"/>
    </xf>
    <xf numFmtId="49" fontId="22" fillId="39" borderId="17" xfId="0" applyFont="1" applyFill="1" applyBorder="1" applyNumberFormat="1">
      <alignment horizontal="left" vertical="center" wrapText="1" indent="6"/>
      <protection locked="0"/>
    </xf>
    <xf numFmtId="49" fontId="22" fillId="39" borderId="36" xfId="0" applyFont="1" applyFill="1" applyBorder="1" applyNumberFormat="1">
      <alignment horizontal="left" vertical="center" wrapText="1" indent="6"/>
      <protection locked="0"/>
    </xf>
    <xf numFmtId="49" fontId="22" fillId="39" borderId="23" xfId="0" applyFont="1" applyFill="1" applyBorder="1" applyNumberFormat="1">
      <alignment horizontal="left" vertical="center" wrapText="1" indent="6"/>
      <protection locked="0"/>
    </xf>
    <xf numFmtId="0" fontId="47" fillId="0" borderId="24" xfId="0" applyFont="1" applyBorder="1">
      <alignment horizontal="center" vertical="top" wrapText="1"/>
    </xf>
    <xf numFmtId="49" fontId="22" fillId="0" borderId="12" xfId="0" applyFont="1" applyBorder="1" applyNumberFormat="1">
      <alignment horizontal="left" vertical="center" wrapText="1" indent="1"/>
    </xf>
    <xf numFmtId="0" fontId="44" fillId="0" borderId="12" xfId="0" applyFont="1" applyBorder="1">
      <alignment horizontal="left" vertical="top" wrapText="1"/>
    </xf>
    <xf numFmtId="0" fontId="22" fillId="36" borderId="14" xfId="0" applyFont="1" applyFill="1" applyBorder="1">
      <alignment horizontal="left" vertical="center" wrapText="1"/>
      <protection locked="0"/>
    </xf>
    <xf numFmtId="0" fontId="22" fillId="36" borderId="15" xfId="0" applyFont="1" applyFill="1" applyBorder="1">
      <alignment horizontal="left" vertical="center" wrapText="1"/>
      <protection locked="0"/>
    </xf>
    <xf numFmtId="0" fontId="22" fillId="36" borderId="13" xfId="0" applyFont="1" applyFill="1" applyBorder="1">
      <alignment horizontal="left" vertical="center" wrapText="1"/>
      <protection locked="0"/>
    </xf>
    <xf numFmtId="49" fontId="22" fillId="36" borderId="14" xfId="0" applyFont="1" applyFill="1" applyBorder="1" applyNumberFormat="1">
      <alignment horizontal="left" vertical="center" wrapText="1"/>
      <protection locked="0"/>
    </xf>
    <xf numFmtId="49" fontId="22" fillId="36" borderId="15" xfId="0" applyFont="1" applyFill="1" applyBorder="1" applyNumberFormat="1">
      <alignment horizontal="left" vertical="center" wrapText="1"/>
      <protection locked="0"/>
    </xf>
    <xf numFmtId="49" fontId="22" fillId="36" borderId="13" xfId="0" applyFont="1" applyFill="1" applyBorder="1" applyNumberFormat="1">
      <alignment horizontal="left" vertical="center" wrapText="1"/>
      <protection locked="0"/>
    </xf>
    <xf numFmtId="0" fontId="22" fillId="39" borderId="13" xfId="0" applyFont="1" applyFill="1" applyBorder="1">
      <alignment horizontal="center" vertical="center" wrapText="1"/>
      <protection locked="0"/>
    </xf>
    <xf numFmtId="4" fontId="22" fillId="39" borderId="12" xfId="0" applyFont="1" applyFill="1" applyBorder="1" applyNumberFormat="1">
      <alignment horizontal="center" vertical="center" wrapText="1"/>
      <protection locked="0"/>
    </xf>
    <xf numFmtId="49" fontId="22" fillId="40" borderId="20" xfId="0" applyFont="1" applyFill="1" applyBorder="1" applyNumberFormat="1">
      <alignment horizontal="center" vertical="center" wrapText="1"/>
    </xf>
    <xf numFmtId="49" fontId="22" fillId="40" borderId="29" xfId="0" applyFont="1" applyFill="1" applyBorder="1" applyNumberFormat="1">
      <alignment horizontal="center" vertical="center" wrapText="1"/>
    </xf>
    <xf numFmtId="49" fontId="22" fillId="36" borderId="17" xfId="0" applyFont="1" applyFill="1" applyBorder="1" applyNumberFormat="1">
      <alignment horizontal="left" vertical="center" wrapText="1" indent="6"/>
      <protection locked="0"/>
    </xf>
    <xf numFmtId="49" fontId="22" fillId="36" borderId="36" xfId="0" applyFont="1" applyFill="1" applyBorder="1" applyNumberFormat="1">
      <alignment horizontal="left" vertical="center" wrapText="1" indent="6"/>
      <protection locked="0"/>
    </xf>
    <xf numFmtId="49" fontId="22" fillId="36" borderId="23" xfId="0" applyFont="1" applyFill="1" applyBorder="1" applyNumberFormat="1">
      <alignment horizontal="left" vertical="center" wrapText="1" indent="6"/>
      <protection locked="0"/>
    </xf>
    <xf numFmtId="4" fontId="22" fillId="39" borderId="12" xfId="0" applyFont="1" applyFill="1" applyBorder="1" applyNumberFormat="1">
      <alignment horizontal="left" vertical="center" wrapText="1" indent="1"/>
      <protection locked="0"/>
    </xf>
    <xf numFmtId="0" fontId="47" fillId="0" borderId="19" xfId="0" applyFont="1" applyBorder="1">
      <alignment horizontal="left" vertical="center" wrapText="1"/>
    </xf>
    <xf numFmtId="49" fontId="22" fillId="35" borderId="12" xfId="59" applyFont="1" applyFill="1" applyBorder="1" applyNumberFormat="1">
      <alignment horizontal="center" vertical="center" wrapText="1"/>
    </xf>
    <xf numFmtId="0" fontId="22" fillId="0" borderId="12" xfId="0" applyFont="1" applyBorder="1">
      <alignment horizontal="center" vertical="center" wrapText="1"/>
    </xf>
    <xf numFmtId="0" fontId="22" fillId="0" borderId="15" xfId="0" applyFont="1" applyBorder="1">
      <alignment horizontal="right" vertical="center" wrapText="1" indent="1"/>
    </xf>
    <xf numFmtId="0" fontId="22" fillId="0" borderId="13" xfId="0" applyFont="1" applyBorder="1">
      <alignment horizontal="right" vertical="center" wrapText="1" indent="1"/>
    </xf>
    <xf numFmtId="0" fontId="22" fillId="0" borderId="14" xfId="0" applyFont="1" applyBorder="1">
      <alignment horizontal="right" vertical="center" wrapText="1"/>
    </xf>
    <xf numFmtId="0" fontId="22" fillId="0" borderId="15" xfId="0" applyFont="1" applyBorder="1">
      <alignment horizontal="right" vertical="center" wrapText="1"/>
    </xf>
    <xf numFmtId="49" fontId="91" fillId="46" borderId="0" xfId="0" applyFont="1" applyFill="1" applyNumberFormat="1">
      <alignment horizontal="center" vertical="center" textRotation="90" wrapText="1"/>
    </xf>
    <xf numFmtId="0" fontId="72" fillId="0" borderId="0" xfId="0" applyFont="1">
      <alignment horizontal="center" vertical="center" wrapText="1"/>
    </xf>
    <xf numFmtId="49" fontId="91" fillId="46" borderId="0" xfId="0" applyFont="1" applyFill="1" applyNumberFormat="1">
      <alignment horizontal="center" vertical="center" textRotation="90" wrapText="1"/>
    </xf>
    <xf numFmtId="0" fontId="47" fillId="0" borderId="0" xfId="0" applyFont="1">
      <alignment horizontal="center" vertical="center" wrapText="1"/>
    </xf>
    <xf numFmtId="0" fontId="46" fillId="0" borderId="0" xfId="0" applyFont="1">
      <alignment horizontal="center" vertical="top"/>
    </xf>
    <xf numFmtId="0" fontId="22" fillId="0" borderId="23" xfId="0" applyFont="1" applyBorder="1">
      <alignment horizontal="left" vertical="center" wrapText="1"/>
    </xf>
    <xf numFmtId="0" fontId="0" fillId="0" borderId="14" xfId="0" applyFont="1" applyBorder="1">
      <alignment horizontal="right" vertical="center" wrapText="1" indent="1"/>
    </xf>
    <xf numFmtId="0" fontId="0" fillId="0" borderId="15" xfId="0" applyFont="1" applyBorder="1">
      <alignment horizontal="right" vertical="center" wrapText="1" indent="1"/>
    </xf>
    <xf numFmtId="0" fontId="0" fillId="0" borderId="13" xfId="0" applyFont="1" applyBorder="1">
      <alignment horizontal="right" vertical="center" wrapText="1" indent="1"/>
    </xf>
    <xf numFmtId="49" fontId="47" fillId="0" borderId="17" xfId="0" applyFont="1" applyBorder="1" applyNumberFormat="1">
      <alignment horizontal="center" vertical="center" wrapText="1"/>
    </xf>
    <xf numFmtId="49" fontId="47" fillId="0" borderId="36" xfId="0" applyFont="1" applyBorder="1" applyNumberFormat="1">
      <alignment horizontal="center" vertical="center" wrapText="1"/>
    </xf>
    <xf numFmtId="49" fontId="47" fillId="0" borderId="23" xfId="0" applyFont="1" applyBorder="1" applyNumberFormat="1">
      <alignment horizontal="center" vertical="center" wrapText="1"/>
    </xf>
    <xf numFmtId="0" fontId="0" fillId="34" borderId="12" xfId="0" applyFont="1" applyFill="1" applyBorder="1">
      <alignment horizontal="left" vertical="center" wrapText="1" indent="1"/>
    </xf>
    <xf numFmtId="0" fontId="44" fillId="0" borderId="0" xfId="0" applyFont="1">
      <alignment horizontal="left" vertical="top" wrapText="1"/>
    </xf>
    <xf numFmtId="0" fontId="22" fillId="0" borderId="0" xfId="0" applyFont="1">
      <alignment horizontal="left" vertical="top" wrapText="1"/>
    </xf>
    <xf numFmtId="0" fontId="22" fillId="35" borderId="14" xfId="0" applyFont="1" applyFill="1" applyBorder="1">
      <alignment horizontal="center" vertical="center" wrapText="1"/>
    </xf>
    <xf numFmtId="0" fontId="22" fillId="35" borderId="15" xfId="0" applyFont="1" applyFill="1" applyBorder="1">
      <alignment horizontal="center" vertical="center" wrapText="1"/>
    </xf>
    <xf numFmtId="0" fontId="22" fillId="35" borderId="20" xfId="0" applyFont="1" applyFill="1" applyBorder="1">
      <alignment horizontal="center" vertical="center" wrapText="1"/>
    </xf>
    <xf numFmtId="0" fontId="22" fillId="35" borderId="12" xfId="0" applyFont="1" applyFill="1" applyBorder="1">
      <alignment horizontal="center" vertical="center"/>
    </xf>
    <xf numFmtId="0" fontId="47" fillId="0" borderId="15" xfId="0" applyFont="1" applyBorder="1">
      <alignment horizontal="right" vertical="center" wrapText="1" indent="1"/>
    </xf>
    <xf numFmtId="0" fontId="47" fillId="0" borderId="13" xfId="0" applyFont="1" applyBorder="1">
      <alignment horizontal="right" vertical="center" wrapText="1" indent="1"/>
    </xf>
    <xf numFmtId="49" fontId="22" fillId="57" borderId="0" xfId="0" applyFont="1" applyFill="1" applyNumberFormat="1">
      <alignment horizontal="center" vertical="center" textRotation="90" wrapText="1"/>
    </xf>
    <xf numFmtId="0" fontId="22" fillId="34" borderId="14" xfId="0" applyFont="1" applyFill="1" applyBorder="1">
      <alignment horizontal="left" vertical="top" wrapText="1"/>
    </xf>
    <xf numFmtId="0" fontId="22" fillId="34" borderId="13" xfId="0" applyFont="1" applyFill="1" applyBorder="1">
      <alignment horizontal="left" vertical="top" wrapText="1"/>
    </xf>
    <xf numFmtId="0" fontId="22" fillId="34" borderId="14" xfId="0" applyFont="1" applyFill="1" applyBorder="1">
      <alignment horizontal="left" vertical="top" wrapText="1" indent="1"/>
    </xf>
    <xf numFmtId="0" fontId="22" fillId="34" borderId="13" xfId="0" applyFont="1" applyFill="1" applyBorder="1">
      <alignment horizontal="left" vertical="top" wrapText="1" indent="1"/>
    </xf>
    <xf numFmtId="49" fontId="22" fillId="0" borderId="0" xfId="0" applyFont="1" applyNumberFormat="1">
      <alignment vertical="center" wrapText="1"/>
    </xf>
    <xf numFmtId="0" fontId="35" fillId="0" borderId="24" xfId="0" applyFont="1" applyBorder="1">
      <alignment horizontal="center" vertical="center" wrapText="1"/>
    </xf>
    <xf numFmtId="0" fontId="0" fillId="35" borderId="14" xfId="0" applyFont="1" applyFill="1" applyBorder="1">
      <alignment horizontal="center" vertical="center" wrapText="1"/>
    </xf>
    <xf numFmtId="0" fontId="0" fillId="35" borderId="15" xfId="0" applyFont="1" applyFill="1" applyBorder="1">
      <alignment horizontal="center" vertical="center" wrapText="1"/>
    </xf>
    <xf numFmtId="0" fontId="0" fillId="35" borderId="13" xfId="0" applyFont="1" applyFill="1" applyBorder="1">
      <alignment horizontal="center" vertical="center" wrapText="1"/>
    </xf>
    <xf numFmtId="49" fontId="0" fillId="0" borderId="12" xfId="0" applyFont="1" applyBorder="1" applyNumberFormat="1">
      <alignment horizontal="center" vertical="center" wrapText="1"/>
    </xf>
    <xf numFmtId="0" fontId="0" fillId="0" borderId="12" xfId="0" applyFont="1" applyBorder="1">
      <alignment horizontal="left" vertical="center" wrapText="1" indent="1"/>
    </xf>
    <xf numFmtId="49" fontId="22" fillId="0" borderId="12" xfId="0" applyFont="1" applyBorder="1" applyNumberFormat="1">
      <alignment horizontal="left" vertical="center" wrapText="1"/>
    </xf>
    <xf numFmtId="49" fontId="22" fillId="0" borderId="14" xfId="0" applyFont="1" applyBorder="1" applyNumberFormat="1">
      <alignment horizontal="center" vertical="center" wrapText="1"/>
    </xf>
    <xf numFmtId="49" fontId="47" fillId="0" borderId="12" xfId="0" applyFont="1" applyBorder="1" applyNumberFormat="1">
      <alignment horizontal="center" vertical="center" wrapText="1"/>
    </xf>
    <xf numFmtId="0" fontId="22" fillId="0" borderId="0" xfId="0" applyFont="1">
      <alignment horizontal="left" vertical="center" wrapText="1"/>
    </xf>
    <xf numFmtId="0" fontId="22" fillId="35" borderId="12" xfId="0" applyFont="1" applyFill="1" applyBorder="1">
      <alignment horizontal="center" vertical="center" wrapText="1"/>
    </xf>
    <xf numFmtId="0" fontId="22" fillId="35" borderId="37" xfId="0" applyFont="1" applyFill="1" applyBorder="1">
      <alignment horizontal="center" vertical="center" wrapText="1"/>
    </xf>
    <xf numFmtId="0" fontId="22" fillId="35" borderId="20" xfId="0" applyFont="1" applyFill="1" applyBorder="1">
      <alignment horizontal="center" vertical="center" wrapText="1"/>
    </xf>
    <xf numFmtId="0" fontId="22" fillId="35" borderId="22" xfId="0" applyFont="1" applyFill="1" applyBorder="1">
      <alignment horizontal="center" vertical="center" wrapText="1"/>
    </xf>
    <xf numFmtId="0" fontId="22" fillId="35" borderId="24" xfId="0" applyFont="1" applyFill="1" applyBorder="1">
      <alignment horizontal="center" vertical="center" wrapText="1"/>
    </xf>
    <xf numFmtId="0" fontId="22" fillId="35" borderId="30" xfId="0" applyFont="1" applyFill="1" applyBorder="1">
      <alignment horizontal="center" vertical="center" wrapText="1"/>
    </xf>
    <xf numFmtId="0" fontId="22" fillId="35" borderId="29" xfId="0" applyFont="1" applyFill="1" applyBorder="1">
      <alignment horizontal="center" vertical="center" wrapText="1"/>
    </xf>
    <xf numFmtId="0" fontId="22" fillId="0" borderId="60" xfId="0" applyFont="1" applyBorder="1">
      <alignment horizontal="center" vertical="center"/>
    </xf>
    <xf numFmtId="0" fontId="22" fillId="0" borderId="61" xfId="0" applyFont="1" applyBorder="1">
      <alignment horizontal="center" vertical="center"/>
    </xf>
    <xf numFmtId="0" fontId="22" fillId="0" borderId="67" xfId="0" applyFont="1" applyBorder="1">
      <alignment horizontal="center" vertical="center"/>
    </xf>
    <xf numFmtId="0" fontId="0" fillId="0" borderId="12" xfId="0" applyFont="1" applyBorder="1">
      <alignment horizontal="center" vertical="center" wrapText="1"/>
    </xf>
    <xf numFmtId="0" fontId="22" fillId="0" borderId="73" xfId="0" applyFont="1" applyBorder="1">
      <alignment horizontal="center" vertical="center"/>
    </xf>
    <xf numFmtId="0" fontId="22" fillId="0" borderId="43" xfId="0" applyFont="1" applyBorder="1">
      <alignment horizontal="center" vertical="center"/>
    </xf>
    <xf numFmtId="49" fontId="0" fillId="0" borderId="12" xfId="0" applyFont="1" applyBorder="1" applyNumberFormat="1">
      <alignment vertical="center" wrapText="1"/>
    </xf>
    <xf numFmtId="49" fontId="0" fillId="0" borderId="12" xfId="0" applyFont="1" applyBorder="1" applyNumberFormat="1">
      <alignment horizontal="left" vertical="center" wrapText="1"/>
    </xf>
    <xf numFmtId="49" fontId="0" fillId="0" borderId="17" xfId="0" applyFont="1" applyBorder="1" applyNumberFormat="1">
      <alignment horizontal="center" vertical="center" wrapText="1"/>
    </xf>
    <xf numFmtId="49" fontId="0" fillId="0" borderId="36" xfId="0" applyFont="1" applyBorder="1" applyNumberFormat="1">
      <alignment horizontal="center" vertical="center" wrapText="1"/>
    </xf>
    <xf numFmtId="49" fontId="0" fillId="0" borderId="23" xfId="0" applyFont="1" applyBorder="1" applyNumberFormat="1">
      <alignment horizontal="center" vertical="center" wrapText="1"/>
    </xf>
    <xf numFmtId="49" fontId="0" fillId="0" borderId="12" xfId="0" applyFont="1" applyBorder="1" applyNumberFormat="1">
      <alignment horizontal="center" vertical="center" wrapText="1"/>
    </xf>
    <xf numFmtId="0" fontId="0" fillId="34" borderId="12" xfId="0" applyFont="1" applyFill="1" applyBorder="1">
      <alignment horizontal="center" vertical="center" wrapText="1"/>
    </xf>
    <xf numFmtId="49" fontId="0" fillId="0" borderId="12" xfId="0" applyFont="1" applyBorder="1" applyNumberFormat="1">
      <alignment horizontal="center" vertical="center"/>
    </xf>
    <xf numFmtId="49" fontId="22" fillId="0" borderId="14" xfId="0" applyFont="1" applyBorder="1" applyNumberFormat="1">
      <alignment horizontal="center" vertical="center" wrapText="1"/>
    </xf>
    <xf numFmtId="49" fontId="22" fillId="0" borderId="15" xfId="0" applyFont="1" applyBorder="1" applyNumberFormat="1">
      <alignment horizontal="center" vertical="center" wrapText="1"/>
    </xf>
    <xf numFmtId="49" fontId="22" fillId="0" borderId="13" xfId="0" applyFont="1" applyBorder="1" applyNumberFormat="1">
      <alignment horizontal="center" vertical="center" wrapText="1"/>
    </xf>
    <xf numFmtId="0" fontId="22" fillId="0" borderId="20" xfId="0" applyFont="1" applyBorder="1">
      <alignment horizontal="left" vertical="top" wrapText="1"/>
    </xf>
    <xf numFmtId="0" fontId="22" fillId="35" borderId="13" xfId="0" applyFont="1" applyFill="1" applyBorder="1">
      <alignment horizontal="center" vertical="center" wrapText="1"/>
    </xf>
    <xf numFmtId="0" fontId="22" fillId="41" borderId="12" xfId="0" applyFont="1" applyFill="1" applyBorder="1">
      <alignment horizontal="center" vertical="center" wrapText="1"/>
    </xf>
    <xf numFmtId="0" fontId="22" fillId="35" borderId="29" xfId="0" applyFont="1" applyFill="1" applyBorder="1">
      <alignment horizontal="center" vertical="center" wrapText="1"/>
    </xf>
    <xf numFmtId="0" fontId="22" fillId="41" borderId="13" xfId="0" applyFont="1" applyFill="1" applyBorder="1">
      <alignment horizontal="center" vertical="center" wrapText="1"/>
    </xf>
    <xf numFmtId="49" fontId="22" fillId="35" borderId="12" xfId="0" applyFont="1" applyFill="1" applyBorder="1" applyNumberFormat="1">
      <alignment horizontal="center" vertical="center" wrapText="1"/>
    </xf>
    <xf numFmtId="49" fontId="22" fillId="41" borderId="12" xfId="0" applyFont="1" applyFill="1" applyBorder="1" applyNumberFormat="1">
      <alignment horizontal="center" vertical="center" wrapText="1"/>
    </xf>
    <xf numFmtId="49" fontId="46" fillId="47" borderId="14" xfId="0" applyFont="1" applyFill="1" applyBorder="1" applyNumberFormat="1">
      <alignment horizontal="center" vertical="center" wrapText="1"/>
    </xf>
    <xf numFmtId="49" fontId="46" fillId="47" borderId="15" xfId="0" applyFont="1" applyFill="1" applyBorder="1" applyNumberFormat="1">
      <alignment horizontal="center" vertical="center" wrapText="1"/>
    </xf>
    <xf numFmtId="49" fontId="46" fillId="47" borderId="13" xfId="0" applyFont="1" applyFill="1" applyBorder="1" applyNumberFormat="1">
      <alignment horizontal="center" vertical="center" wrapText="1"/>
    </xf>
    <xf numFmtId="49" fontId="46" fillId="50" borderId="14" xfId="0" applyFont="1" applyFill="1" applyBorder="1" applyNumberFormat="1">
      <alignment horizontal="center" vertical="center" wrapText="1"/>
    </xf>
    <xf numFmtId="49" fontId="46" fillId="50" borderId="15" xfId="0" applyFont="1" applyFill="1" applyBorder="1" applyNumberFormat="1">
      <alignment horizontal="center" vertical="center" wrapText="1"/>
    </xf>
    <xf numFmtId="49" fontId="46" fillId="50" borderId="13" xfId="0" applyFont="1" applyFill="1" applyBorder="1" applyNumberFormat="1">
      <alignment horizontal="center" vertical="center" wrapText="1"/>
    </xf>
    <xf numFmtId="49" fontId="22" fillId="51" borderId="14" xfId="0" applyFont="1" applyFill="1" applyBorder="1" applyNumberFormat="1">
      <alignment horizontal="center" vertical="center" wrapText="1"/>
    </xf>
    <xf numFmtId="49" fontId="22" fillId="51" borderId="15" xfId="0" applyFont="1" applyFill="1" applyBorder="1" applyNumberFormat="1">
      <alignment horizontal="center" vertical="center" wrapText="1"/>
    </xf>
    <xf numFmtId="49" fontId="22" fillId="41" borderId="19" xfId="0" applyFont="1" applyFill="1" applyBorder="1" applyNumberFormat="1">
      <alignment horizontal="center" vertical="center" wrapText="1"/>
    </xf>
    <xf numFmtId="49" fontId="22" fillId="41" borderId="0" xfId="0" applyFont="1" applyFill="1" applyNumberFormat="1">
      <alignment horizontal="center" vertical="center" wrapText="1"/>
    </xf>
    <xf numFmtId="49" fontId="22" fillId="41" borderId="27" xfId="0" applyFont="1" applyFill="1" applyBorder="1" applyNumberFormat="1">
      <alignment horizontal="center" vertical="center" wrapText="1"/>
    </xf>
    <xf numFmtId="0" fontId="22" fillId="49" borderId="14" xfId="0" applyFont="1" applyFill="1" applyBorder="1">
      <alignment horizontal="center" vertical="center" wrapText="1"/>
    </xf>
    <xf numFmtId="0" fontId="22" fillId="49" borderId="15" xfId="0" applyFont="1" applyFill="1" applyBorder="1">
      <alignment horizontal="center" vertical="center" wrapText="1"/>
    </xf>
    <xf numFmtId="0" fontId="22" fillId="49" borderId="13" xfId="0" applyFont="1" applyFill="1" applyBorder="1">
      <alignment horizontal="center" vertical="center" wrapText="1"/>
    </xf>
    <xf numFmtId="0" fontId="22" fillId="41" borderId="14" xfId="0" applyFont="1" applyFill="1" applyBorder="1">
      <alignment horizontal="center" vertical="center" wrapText="1"/>
    </xf>
    <xf numFmtId="0" fontId="22" fillId="0" borderId="20" xfId="0" applyFont="1" applyBorder="1">
      <alignment horizontal="left" vertical="top" wrapText="1" indent="1"/>
    </xf>
    <xf numFmtId="0" fontId="22" fillId="0" borderId="17" xfId="0" applyFont="1" applyBorder="1">
      <alignment horizontal="left" vertical="top" wrapText="1" indent="1"/>
    </xf>
    <xf numFmtId="0" fontId="22" fillId="0" borderId="37" xfId="0" applyFont="1" applyBorder="1">
      <alignment horizontal="left" vertical="top" wrapText="1" indent="1"/>
    </xf>
    <xf numFmtId="0" fontId="22" fillId="0" borderId="29" xfId="0" applyFont="1" applyBorder="1">
      <alignment horizontal="left" vertical="center" wrapText="1" indent="1"/>
    </xf>
    <xf numFmtId="0" fontId="22" fillId="0" borderId="23" xfId="0" applyFont="1" applyBorder="1">
      <alignment horizontal="left" vertical="center" wrapText="1" indent="1"/>
    </xf>
    <xf numFmtId="0" fontId="22" fillId="0" borderId="30" xfId="0" applyFont="1" applyBorder="1">
      <alignment horizontal="left" vertical="center" wrapText="1" indent="1"/>
    </xf>
    <xf numFmtId="0" fontId="0" fillId="0" borderId="12" xfId="0" applyFont="1" applyBorder="1">
      <alignment horizontal="left" vertical="center" wrapText="1"/>
    </xf>
    <xf numFmtId="0" fontId="0" fillId="0" borderId="12" xfId="0" applyFont="1" applyBorder="1">
      <alignment horizontal="left" vertical="center" wrapText="1"/>
    </xf>
    <xf numFmtId="0" fontId="38" fillId="35" borderId="24" xfId="0" applyFont="1" applyFill="1" applyBorder="1">
      <alignment horizontal="center" vertical="top" wrapText="1"/>
    </xf>
    <xf numFmtId="49" fontId="0" fillId="35" borderId="23" xfId="0" applyFont="1" applyFill="1" applyBorder="1" applyNumberFormat="1">
      <alignment horizontal="center" vertical="center" wrapText="1"/>
    </xf>
    <xf numFmtId="0" fontId="0" fillId="34" borderId="23" xfId="0" applyFont="1" applyFill="1" applyBorder="1">
      <alignment horizontal="left" vertical="center" wrapText="1" indent="1"/>
    </xf>
    <xf numFmtId="0" fontId="22" fillId="0" borderId="15" xfId="0" applyFont="1" applyBorder="1">
      <alignment horizontal="left" vertical="top" wrapText="1" indent="1"/>
    </xf>
    <xf numFmtId="0" fontId="38" fillId="35" borderId="0" xfId="0" applyFont="1" applyFill="1">
      <alignment horizontal="center" vertical="top" wrapText="1"/>
    </xf>
    <xf numFmtId="49" fontId="35" fillId="35" borderId="19" xfId="0" applyFont="1" applyFill="1" applyBorder="1" applyNumberFormat="1">
      <alignment horizontal="center" vertical="center" wrapText="1"/>
    </xf>
    <xf numFmtId="0" fontId="0" fillId="0" borderId="17" xfId="0" applyFont="1" applyBorder="1">
      <alignment horizontal="left" vertical="center" wrapText="1"/>
    </xf>
    <xf numFmtId="0" fontId="0" fillId="0" borderId="17" xfId="0" applyFont="1" applyBorder="1">
      <alignment horizontal="left" vertical="center" wrapText="1"/>
    </xf>
    <xf numFmtId="0" fontId="0" fillId="34" borderId="14" xfId="0" applyFont="1" applyFill="1" applyBorder="1">
      <alignment horizontal="left" vertical="center" wrapText="1" indent="1"/>
    </xf>
    <xf numFmtId="0" fontId="0" fillId="35" borderId="17" xfId="0" applyFont="1" applyFill="1" applyBorder="1">
      <alignment horizontal="left" vertical="top" wrapText="1"/>
    </xf>
    <xf numFmtId="0" fontId="0" fillId="35" borderId="36" xfId="0" applyFont="1" applyFill="1" applyBorder="1">
      <alignment horizontal="left" vertical="top" wrapText="1"/>
    </xf>
    <xf numFmtId="0" fontId="0" fillId="35" borderId="23" xfId="0" applyFont="1" applyFill="1" applyBorder="1">
      <alignment horizontal="left" vertical="top" wrapText="1"/>
    </xf>
    <xf numFmtId="4" fontId="22" fillId="0" borderId="17" xfId="0" applyFont="1" applyBorder="1" applyNumberFormat="1">
      <alignment horizontal="center" vertical="center" wrapText="1"/>
    </xf>
    <xf numFmtId="4" fontId="22" fillId="0" borderId="23" xfId="0" applyFont="1" applyBorder="1" applyNumberFormat="1">
      <alignment horizontal="center" vertical="center" wrapText="1"/>
    </xf>
    <xf numFmtId="4" fontId="22" fillId="0" borderId="36" xfId="0" applyFont="1" applyBorder="1" applyNumberFormat="1">
      <alignment horizontal="center" vertical="center" wrapText="1"/>
    </xf>
    <xf numFmtId="0" fontId="22" fillId="0" borderId="29" xfId="0" applyFont="1" applyBorder="1">
      <alignment horizontal="left" vertical="top" wrapText="1"/>
    </xf>
    <xf numFmtId="180" fontId="22" fillId="0" borderId="17" xfId="0" applyFont="1" applyBorder="1" applyNumberFormat="1">
      <alignment horizontal="center" vertical="center" wrapText="1"/>
    </xf>
    <xf numFmtId="180" fontId="22" fillId="0" borderId="23" xfId="0" applyFont="1" applyBorder="1" applyNumberFormat="1">
      <alignment horizontal="center" vertical="center" wrapText="1"/>
    </xf>
    <xf numFmtId="180" fontId="22" fillId="0" borderId="14" xfId="0" applyFont="1" applyBorder="1" applyNumberFormat="1">
      <alignment horizontal="center" vertical="center" wrapText="1"/>
    </xf>
    <xf numFmtId="180" fontId="22" fillId="0" borderId="15" xfId="0" applyFont="1" applyBorder="1" applyNumberFormat="1">
      <alignment horizontal="center" vertical="center" wrapText="1"/>
    </xf>
    <xf numFmtId="180" fontId="22" fillId="0" borderId="13" xfId="0" applyFont="1" applyBorder="1" applyNumberFormat="1">
      <alignment horizontal="center" vertical="center" wrapText="1"/>
    </xf>
    <xf numFmtId="14" fontId="22" fillId="40" borderId="12" xfId="0" applyFont="1" applyFill="1" applyBorder="1" applyNumberFormat="1">
      <alignment horizontal="left" vertical="center" wrapText="1"/>
    </xf>
    <xf numFmtId="49" fontId="22" fillId="40" borderId="14" xfId="0" applyFont="1" applyFill="1" applyBorder="1" applyNumberFormat="1">
      <alignment horizontal="left" vertical="center" wrapText="1"/>
    </xf>
    <xf numFmtId="49" fontId="22" fillId="40" borderId="12" xfId="0" applyFont="1" applyFill="1" applyBorder="1" applyNumberFormat="1">
      <alignment horizontal="left" vertical="center" wrapText="1"/>
    </xf>
    <xf numFmtId="0" fontId="22" fillId="34" borderId="29" xfId="0" applyFont="1" applyFill="1" applyBorder="1">
      <alignment horizontal="left" vertical="center" wrapText="1"/>
    </xf>
    <xf numFmtId="14" fontId="22" fillId="40" borderId="23" xfId="0" applyFont="1" applyFill="1" applyBorder="1" applyNumberFormat="1">
      <alignment horizontal="left" vertical="center" wrapText="1"/>
    </xf>
    <xf numFmtId="49" fontId="22" fillId="0" borderId="12" xfId="0" applyFont="1" applyBorder="1" applyNumberFormat="1">
      <alignment horizontal="left" vertical="top" wrapText="1"/>
    </xf>
    <xf numFmtId="49" fontId="127" fillId="0" borderId="12" xfId="0" applyFont="1" applyBorder="1" applyNumberFormat="1">
      <alignment horizontal="left" vertical="top" wrapText="1"/>
    </xf>
    <xf numFmtId="0" fontId="22" fillId="0" borderId="15" xfId="0" applyFont="1" applyBorder="1">
      <alignment horizontal="left" vertical="center" wrapText="1"/>
    </xf>
    <xf numFmtId="180" fontId="22" fillId="0" borderId="36" xfId="0" applyFont="1" applyBorder="1" applyNumberFormat="1">
      <alignment horizontal="center" vertical="center" wrapText="1"/>
    </xf>
    <xf numFmtId="180" fontId="22" fillId="0" borderId="12" xfId="0" applyFont="1" applyBorder="1" applyNumberFormat="1">
      <alignment horizontal="center" vertical="center" wrapText="1"/>
    </xf>
    <xf numFmtId="180" fontId="44" fillId="0" borderId="19" xfId="0" applyFont="1" applyBorder="1" applyNumberFormat="1">
      <alignment horizontal="center" vertical="center" wrapText="1"/>
    </xf>
    <xf numFmtId="49" fontId="22" fillId="40" borderId="30" xfId="0" applyFont="1" applyFill="1" applyBorder="1" applyNumberFormat="1">
      <alignment horizontal="left" vertical="center" wrapText="1"/>
    </xf>
    <xf numFmtId="49" fontId="22" fillId="40" borderId="23" xfId="0" applyFont="1" applyFill="1" applyBorder="1" applyNumberFormat="1">
      <alignment horizontal="left" vertical="center" wrapText="1"/>
    </xf>
    <xf numFmtId="49" fontId="22" fillId="0" borderId="0" xfId="0" applyFont="1" applyNumberFormat="1">
      <alignment horizontal="left" vertical="top" wrapText="1"/>
    </xf>
    <xf numFmtId="0" fontId="22" fillId="0" borderId="13" xfId="0" applyFont="1" applyBorder="1">
      <alignment horizontal="left" vertical="center" wrapText="1" indent="1"/>
    </xf>
    <xf numFmtId="0" fontId="22" fillId="0" borderId="14" xfId="0" applyFont="1" applyBorder="1">
      <alignment horizontal="left" vertical="center" wrapText="1" indent="1"/>
    </xf>
    <xf numFmtId="49" fontId="22" fillId="0" borderId="0" xfId="0" applyFont="1" applyNumberFormat="1">
      <alignment horizontal="left" vertical="top" wrapText="1"/>
    </xf>
    <xf numFmtId="49" fontId="0" fillId="0" borderId="15" xfId="0" applyFont="1" applyBorder="1" applyNumberFormat="1">
      <alignment horizontal="left" vertical="center" indent="1"/>
    </xf>
    <xf numFmtId="49" fontId="22" fillId="36" borderId="12" xfId="0" applyFont="1" applyFill="1" applyBorder="1" applyNumberFormat="1">
      <alignment horizontal="left" vertical="center" wrapText="1"/>
      <protection locked="0"/>
    </xf>
    <xf numFmtId="49" fontId="0" fillId="39" borderId="12" xfId="0" applyFont="1" applyFill="1" applyBorder="1" applyNumberFormat="1">
      <alignment horizontal="left" vertical="center" wrapText="1"/>
      <protection locked="0"/>
    </xf>
    <xf numFmtId="49" fontId="0" fillId="0" borderId="12" xfId="0" applyFont="1" applyBorder="1" applyNumberFormat="1">
      <alignment vertical="top"/>
    </xf>
    <xf numFmtId="0" fontId="0" fillId="40" borderId="12" xfId="0" applyFont="1" applyFill="1" applyBorder="1">
      <alignment horizontal="left" vertical="center" wrapText="1"/>
    </xf>
    <xf numFmtId="49" fontId="0" fillId="40" borderId="12" xfId="0" applyFont="1" applyFill="1" applyBorder="1" applyNumberFormat="1">
      <alignment horizontal="left" vertical="center" wrapText="1"/>
    </xf>
    <xf numFmtId="3" fontId="22" fillId="39" borderId="12" xfId="0" applyFont="1" applyFill="1" applyBorder="1" applyNumberFormat="1">
      <alignment horizontal="center" vertical="center" wrapText="1"/>
      <protection locked="0"/>
    </xf>
    <xf numFmtId="49" fontId="22" fillId="40" borderId="14" xfId="0" applyFont="1" applyFill="1" applyBorder="1" applyNumberFormat="1">
      <alignment horizontal="center" vertical="center" wrapText="1"/>
    </xf>
    <xf numFmtId="49" fontId="123" fillId="0" borderId="12" xfId="0" applyFont="1" applyBorder="1" applyNumberFormat="1">
      <alignment horizontal="center" vertical="center" wrapText="1"/>
    </xf>
    <xf numFmtId="0" fontId="44" fillId="0" borderId="13" xfId="0" applyFont="1" applyBorder="1">
      <alignment horizontal="center" vertical="center"/>
    </xf>
    <xf numFmtId="49" fontId="22" fillId="40" borderId="17" xfId="0" applyFont="1" applyFill="1" applyBorder="1" applyNumberFormat="1">
      <alignment horizontal="left" vertical="center" wrapText="1" indent="1"/>
    </xf>
    <xf numFmtId="49" fontId="22" fillId="40" borderId="36" xfId="0" applyFont="1" applyFill="1" applyBorder="1" applyNumberFormat="1">
      <alignment horizontal="left" vertical="center" wrapText="1" indent="1"/>
    </xf>
    <xf numFmtId="49" fontId="22" fillId="40" borderId="23" xfId="0" applyFont="1" applyFill="1" applyBorder="1" applyNumberFormat="1">
      <alignment horizontal="left" vertical="center" wrapText="1" indent="1"/>
    </xf>
    <xf numFmtId="49" fontId="22" fillId="0" borderId="12" xfId="0" applyFont="1" applyBorder="1" applyNumberFormat="1">
      <alignment horizontal="left" vertical="center" wrapText="1"/>
    </xf>
    <xf numFmtId="49" fontId="22" fillId="34" borderId="12" xfId="0" applyFont="1" applyFill="1" applyBorder="1" applyNumberFormat="1">
      <alignment horizontal="left" vertical="center" wrapText="1"/>
    </xf>
    <xf numFmtId="49" fontId="22" fillId="0" borderId="13" xfId="0" applyFont="1" applyBorder="1" applyNumberFormat="1">
      <alignment horizontal="center" vertical="center" wrapText="1"/>
    </xf>
    <xf numFmtId="49" fontId="22" fillId="40" borderId="13" xfId="0" applyFont="1" applyFill="1" applyBorder="1" applyNumberFormat="1">
      <alignment horizontal="left" vertical="center" wrapText="1"/>
    </xf>
    <xf numFmtId="49" fontId="22" fillId="39" borderId="12" xfId="0" applyFont="1" applyFill="1" applyBorder="1" applyNumberFormat="1">
      <alignment horizontal="left" vertical="center" wrapText="1"/>
      <protection locked="0"/>
    </xf>
    <xf numFmtId="0" fontId="39" fillId="37" borderId="15" xfId="0" applyFont="1" applyFill="1" applyBorder="1">
      <alignment horizontal="left" vertical="center"/>
    </xf>
    <xf numFmtId="0" fontId="39" fillId="37" borderId="13" xfId="0" applyFont="1" applyFill="1" applyBorder="1">
      <alignment horizontal="left" vertical="center"/>
    </xf>
    <xf numFmtId="0" fontId="39" fillId="37" borderId="19" xfId="0" applyFont="1" applyFill="1" applyBorder="1">
      <alignment horizontal="left" vertical="center"/>
    </xf>
    <xf numFmtId="0" fontId="39" fillId="37" borderId="20" xfId="0" applyFont="1" applyFill="1" applyBorder="1">
      <alignment horizontal="left" vertical="center"/>
    </xf>
    <xf numFmtId="49" fontId="22" fillId="39" borderId="17" xfId="0" applyFont="1" applyFill="1" applyBorder="1" applyNumberFormat="1">
      <alignment horizontal="left" vertical="center" wrapText="1"/>
      <protection locked="0"/>
    </xf>
    <xf numFmtId="49" fontId="22" fillId="0" borderId="36" xfId="0" applyFont="1" applyBorder="1" applyNumberFormat="1">
      <alignment horizontal="center" vertical="center"/>
    </xf>
    <xf numFmtId="0" fontId="22" fillId="40" borderId="17" xfId="0" applyFont="1" applyFill="1" applyBorder="1">
      <alignment horizontal="left" vertical="center" wrapText="1"/>
    </xf>
    <xf numFmtId="0" fontId="22" fillId="40" borderId="36" xfId="0" applyFont="1" applyFill="1" applyBorder="1">
      <alignment horizontal="left" vertical="center" wrapText="1"/>
    </xf>
    <xf numFmtId="49" fontId="22" fillId="40" borderId="17" xfId="0" applyFont="1" applyFill="1" applyBorder="1" applyNumberFormat="1">
      <alignment horizontal="left" vertical="center" wrapText="1"/>
    </xf>
    <xf numFmtId="0" fontId="22" fillId="0" borderId="24" xfId="0" applyFont="1" applyBorder="1">
      <alignment horizontal="center" vertical="center"/>
    </xf>
    <xf numFmtId="49" fontId="22" fillId="36" borderId="17" xfId="0" applyFont="1" applyFill="1" applyBorder="1" applyNumberFormat="1">
      <alignment horizontal="left" vertical="center" wrapText="1"/>
      <protection locked="0"/>
    </xf>
    <xf numFmtId="0" fontId="0" fillId="0" borderId="12" xfId="0" applyFont="1" applyBorder="1">
      <alignment horizontal="center" vertical="center"/>
    </xf>
    <xf numFmtId="49" fontId="0" fillId="0" borderId="12" xfId="0" applyFont="1" applyBorder="1" applyNumberFormat="1">
      <alignment horizontal="left" vertical="top"/>
    </xf>
    <xf numFmtId="0" fontId="22" fillId="40" borderId="12" xfId="0" applyFont="1" applyFill="1" applyBorder="1">
      <alignment horizontal="left" vertical="top" wrapText="1"/>
    </xf>
    <xf numFmtId="49" fontId="0" fillId="40" borderId="12" xfId="0" applyFont="1" applyFill="1" applyBorder="1" applyNumberFormat="1">
      <alignment horizontal="left" vertical="top"/>
    </xf>
    <xf numFmtId="49" fontId="0" fillId="36" borderId="12" xfId="0" applyFont="1" applyFill="1" applyBorder="1" applyNumberFormat="1">
      <alignment horizontal="left" vertical="top"/>
      <protection locked="0"/>
    </xf>
    <xf numFmtId="49" fontId="46" fillId="0" borderId="14" xfId="0" applyFont="1" applyBorder="1" applyNumberFormat="1">
      <alignment horizontal="center" vertical="center" wrapText="1"/>
    </xf>
    <xf numFmtId="49" fontId="39" fillId="37" borderId="51" xfId="0" applyFont="1" applyFill="1" applyBorder="1" applyNumberFormat="1">
      <alignment horizontal="left" vertical="center" indent="1"/>
    </xf>
    <xf numFmtId="49" fontId="22" fillId="34" borderId="12" xfId="0" applyFont="1" applyFill="1" applyBorder="1" applyNumberFormat="1">
      <alignment horizontal="center" vertical="center" wrapText="1"/>
    </xf>
    <xf numFmtId="49" fontId="22" fillId="34" borderId="74" xfId="0" applyFont="1" applyFill="1" applyBorder="1" applyNumberFormat="1">
      <alignment horizontal="center" vertical="center" wrapText="1"/>
    </xf>
    <xf numFmtId="3" fontId="46" fillId="0" borderId="12" xfId="0" applyFont="1" applyBorder="1" applyNumberFormat="1">
      <alignment horizontal="center" vertical="center" wrapText="1"/>
    </xf>
    <xf numFmtId="49" fontId="46" fillId="0" borderId="12" xfId="0" applyFont="1" applyBorder="1" applyNumberFormat="1">
      <alignment horizontal="left" vertical="center" wrapText="1"/>
    </xf>
    <xf numFmtId="49" fontId="46" fillId="0" borderId="13" xfId="0" applyFont="1" applyBorder="1" applyNumberFormat="1">
      <alignment horizontal="center" vertical="center" wrapText="1"/>
    </xf>
    <xf numFmtId="49" fontId="46" fillId="0" borderId="13" xfId="0" applyFont="1" applyBorder="1" applyNumberFormat="1">
      <alignment horizontal="left" vertical="center" wrapText="1"/>
    </xf>
    <xf numFmtId="49" fontId="46" fillId="0" borderId="12" xfId="0" applyFont="1" applyBorder="1" applyNumberFormat="1">
      <alignment horizontal="left" vertical="center" wrapText="1"/>
    </xf>
    <xf numFmtId="49" fontId="125" fillId="0" borderId="13" xfId="0" applyFont="1" applyBorder="1" applyNumberFormat="1">
      <alignment horizontal="center" vertical="center" wrapText="1"/>
    </xf>
    <xf numFmtId="0" fontId="94" fillId="0" borderId="12" xfId="0" applyFont="1" applyBorder="1">
      <alignment horizontal="center" vertical="center"/>
    </xf>
    <xf numFmtId="49" fontId="22" fillId="40" borderId="12" xfId="0" applyFont="1" applyFill="1" applyBorder="1" applyNumberFormat="1">
      <alignment horizontal="center" vertical="top" wrapText="1"/>
    </xf>
    <xf numFmtId="49" fontId="22" fillId="40" borderId="14" xfId="0" applyFont="1" applyFill="1" applyBorder="1" applyNumberFormat="1">
      <alignment horizontal="center" vertical="top" wrapText="1"/>
    </xf>
    <xf numFmtId="0" fontId="22" fillId="36" borderId="12" xfId="0" applyFont="1" applyFill="1" applyBorder="1">
      <alignment horizontal="left" vertical="top" wrapText="1"/>
      <protection locked="0"/>
    </xf>
    <xf numFmtId="179" fontId="0" fillId="36" borderId="12" xfId="0" applyFont="1" applyFill="1" applyBorder="1" applyNumberFormat="1">
      <alignment horizontal="center" vertical="top" wrapText="1"/>
      <protection locked="0"/>
    </xf>
    <xf numFmtId="49" fontId="0" fillId="36" borderId="12" xfId="0" applyFont="1" applyFill="1" applyBorder="1" applyNumberFormat="1">
      <alignment horizontal="center" vertical="top" wrapText="1"/>
      <protection locked="0"/>
    </xf>
    <xf numFmtId="49" fontId="22" fillId="39" borderId="12" xfId="0" applyFont="1" applyFill="1" applyBorder="1" applyNumberFormat="1">
      <alignment horizontal="left" vertical="top" wrapText="1"/>
      <protection locked="0"/>
    </xf>
    <xf numFmtId="49" fontId="0" fillId="34" borderId="12" xfId="0" applyFont="1" applyFill="1" applyBorder="1" applyNumberFormat="1">
      <alignment horizontal="center" vertical="top" wrapText="1"/>
    </xf>
    <xf numFmtId="0" fontId="22" fillId="34" borderId="12" xfId="0" applyFont="1" applyFill="1" applyBorder="1">
      <alignment horizontal="center" vertical="top" wrapText="1"/>
    </xf>
    <xf numFmtId="0" fontId="0" fillId="0" borderId="12" xfId="0" applyFont="1" applyBorder="1">
      <alignment horizontal="center" vertical="center"/>
    </xf>
    <xf numFmtId="0" fontId="0" fillId="0" borderId="37" xfId="0" applyFont="1" applyBorder="1">
      <alignment horizontal="center" vertical="center"/>
    </xf>
    <xf numFmtId="0" fontId="0" fillId="0" borderId="22" xfId="0" applyFont="1" applyBorder="1">
      <alignment horizontal="center" vertical="center"/>
    </xf>
    <xf numFmtId="49" fontId="0" fillId="0" borderId="0" xfId="0" applyFont="1" applyNumberFormat="1">
      <alignment horizontal="left" vertical="top"/>
    </xf>
    <xf numFmtId="14" fontId="81" fillId="0" borderId="17" xfId="0" applyFont="1" applyBorder="1" applyNumberFormat="1">
      <alignment horizontal="center" vertical="center" wrapText="1"/>
    </xf>
    <xf numFmtId="14" fontId="81" fillId="0" borderId="36" xfId="0" applyFont="1" applyBorder="1" applyNumberFormat="1">
      <alignment horizontal="center" vertical="center" wrapText="1"/>
    </xf>
    <xf numFmtId="0" fontId="75" fillId="0" borderId="12" xfId="0" applyFont="1" applyBorder="1">
      <alignment horizontal="left" vertical="center" wrapText="1" indent="1"/>
    </xf>
    <xf numFmtId="0" fontId="75" fillId="0" borderId="12" xfId="0" applyFont="1" applyBorder="1">
      <alignment horizontal="left" vertical="top" indent="1"/>
    </xf>
    <xf numFmtId="0" fontId="35" fillId="0" borderId="12" xfId="0" applyFont="1" applyBorder="1">
      <alignment horizontal="center" vertical="center" wrapText="1"/>
    </xf>
    <xf numFmtId="0" fontId="22" fillId="40" borderId="12" xfId="0" applyFont="1" applyFill="1" applyBorder="1">
      <alignment horizontal="left" vertical="center" wrapText="1" indent="1"/>
    </xf>
    <xf numFmtId="49" fontId="0" fillId="0" borderId="19" xfId="0" applyFont="1" applyBorder="1" applyNumberFormat="1">
      <alignment horizontal="left" vertical="center" wrapText="1"/>
    </xf>
    <xf numFmtId="49" fontId="0" fillId="0" borderId="0" xfId="0" applyFont="1" applyNumberFormat="1">
      <alignment horizontal="left" vertical="center" wrapText="1"/>
    </xf>
    <xf numFmtId="0" fontId="0" fillId="0" borderId="19" xfId="0" applyFont="1" applyBorder="1">
      <alignment horizontal="left" vertical="center" wrapText="1"/>
    </xf>
    <xf numFmtId="0" fontId="0" fillId="0" borderId="0" xfId="0" applyFont="1">
      <alignment horizontal="left" vertical="center" wrapText="1"/>
    </xf>
    <xf numFmtId="0" fontId="0" fillId="0" borderId="19" xfId="0" applyFont="1" applyBorder="1">
      <alignment horizontal="center" vertical="center"/>
    </xf>
    <xf numFmtId="0" fontId="0" fillId="0" borderId="0" xfId="0" applyFont="1">
      <alignment horizontal="center" vertical="center"/>
    </xf>
    <xf numFmtId="0" fontId="0" fillId="39" borderId="12" xfId="0" applyFont="1" applyFill="1" applyBorder="1">
      <alignment horizontal="left" vertical="center" wrapText="1"/>
      <protection locked="0"/>
    </xf>
    <xf numFmtId="49" fontId="0" fillId="39" borderId="14" xfId="0" applyFont="1" applyFill="1" applyBorder="1" applyNumberFormat="1">
      <alignment horizontal="left" vertical="center" wrapText="1"/>
      <protection locked="0"/>
    </xf>
    <xf numFmtId="49" fontId="0" fillId="39" borderId="12" xfId="0" applyFont="1" applyFill="1" applyBorder="1" applyNumberFormat="1">
      <alignment horizontal="left" vertical="center" wrapText="1"/>
      <protection locked="0"/>
    </xf>
    <xf numFmtId="49" fontId="36" fillId="0" borderId="17" xfId="0" applyFont="1" applyBorder="1" applyNumberFormat="1">
      <alignment horizontal="center" vertical="top" wrapText="1"/>
    </xf>
    <xf numFmtId="49" fontId="22" fillId="0" borderId="36" xfId="0" applyFont="1" applyBorder="1" applyNumberFormat="1">
      <alignment horizontal="center" vertical="top" wrapText="1"/>
    </xf>
    <xf numFmtId="49" fontId="22" fillId="0" borderId="23" xfId="0" applyFont="1" applyBorder="1" applyNumberFormat="1">
      <alignment horizontal="center" vertical="top" wrapText="1"/>
    </xf>
    <xf numFmtId="49" fontId="22" fillId="39" borderId="14" xfId="0" applyFont="1" applyFill="1" applyBorder="1" applyNumberFormat="1">
      <alignment horizontal="left" vertical="center" wrapText="1" indent="1"/>
      <protection locked="0"/>
    </xf>
    <xf numFmtId="49" fontId="22" fillId="39" borderId="12" xfId="0" applyFont="1" applyFill="1" applyBorder="1" applyNumberFormat="1">
      <alignment horizontal="left" vertical="center" wrapText="1" indent="1"/>
      <protection locked="0"/>
    </xf>
    <xf numFmtId="0" fontId="0" fillId="0" borderId="12" xfId="0" applyFont="1" applyBorder="1">
      <alignment horizontal="center" vertical="center" wrapText="1"/>
    </xf>
    <xf numFmtId="49" fontId="22" fillId="0" borderId="17" xfId="0" applyFont="1" applyBorder="1" applyNumberFormat="1">
      <alignment horizontal="center" vertical="center" wrapText="1"/>
    </xf>
    <xf numFmtId="49" fontId="22" fillId="0" borderId="36" xfId="0" applyFont="1" applyBorder="1" applyNumberFormat="1">
      <alignment horizontal="center" vertical="center" wrapText="1"/>
    </xf>
    <xf numFmtId="49" fontId="22" fillId="0" borderId="23" xfId="0" applyFont="1" applyBorder="1" applyNumberFormat="1">
      <alignment horizontal="center" vertical="center" wrapText="1"/>
    </xf>
    <xf numFmtId="49" fontId="22" fillId="0" borderId="12" xfId="0" applyFont="1" applyBorder="1" applyNumberFormat="1">
      <alignment horizontal="center" vertical="top" wrapText="1"/>
    </xf>
    <xf numFmtId="0" fontId="0" fillId="34" borderId="12" xfId="0" applyFont="1" applyFill="1" applyBorder="1">
      <alignment horizontal="left" vertical="top" wrapText="1" indent="1"/>
    </xf>
    <xf numFmtId="49" fontId="22" fillId="40" borderId="17" xfId="0" applyFont="1" applyFill="1" applyBorder="1" applyNumberFormat="1">
      <alignment horizontal="center" vertical="top" wrapText="1"/>
    </xf>
    <xf numFmtId="49" fontId="22" fillId="40" borderId="23" xfId="0" applyFont="1" applyFill="1" applyBorder="1" applyNumberFormat="1">
      <alignment horizontal="center" vertical="top" wrapText="1"/>
    </xf>
    <xf numFmtId="179" fontId="0" fillId="39" borderId="12" xfId="0" applyFont="1" applyFill="1" applyBorder="1" applyNumberFormat="1">
      <alignment horizontal="center" vertical="top" wrapText="1"/>
      <protection locked="0"/>
    </xf>
    <xf numFmtId="49" fontId="0" fillId="39" borderId="12" xfId="0" applyFont="1" applyFill="1" applyBorder="1" applyNumberFormat="1">
      <alignment horizontal="center" vertical="top" wrapText="1"/>
      <protection locked="0"/>
    </xf>
    <xf numFmtId="49" fontId="22" fillId="40" borderId="12" xfId="0" applyFont="1" applyFill="1" applyBorder="1" applyNumberFormat="1">
      <alignment horizontal="left" vertical="top" wrapText="1"/>
    </xf>
    <xf numFmtId="49" fontId="46" fillId="0" borderId="17" xfId="0" applyFont="1" applyBorder="1" applyNumberFormat="1">
      <alignment horizontal="left" vertical="center" wrapText="1" indent="1"/>
    </xf>
    <xf numFmtId="49" fontId="46" fillId="0" borderId="36" xfId="0" applyFont="1" applyBorder="1" applyNumberFormat="1">
      <alignment horizontal="left" vertical="center" wrapText="1" indent="1"/>
    </xf>
    <xf numFmtId="49" fontId="46" fillId="0" borderId="23" xfId="0" applyFont="1" applyBorder="1" applyNumberFormat="1">
      <alignment horizontal="left" vertical="center" wrapText="1" indent="1"/>
    </xf>
    <xf numFmtId="0" fontId="44" fillId="0" borderId="12" xfId="0" applyFont="1" applyBorder="1">
      <alignment horizontal="center" vertical="center"/>
    </xf>
    <xf numFmtId="49" fontId="95" fillId="0" borderId="12" xfId="0" applyFont="1" applyBorder="1" applyNumberFormat="1">
      <alignment horizontal="center" vertical="top" wrapText="1"/>
    </xf>
    <xf numFmtId="0" fontId="95" fillId="41" borderId="12" xfId="0" applyFont="1" applyFill="1" applyBorder="1">
      <alignment horizontal="center" vertical="center" wrapText="1"/>
    </xf>
    <xf numFmtId="49" fontId="95" fillId="0" borderId="37" xfId="0" applyFont="1" applyBorder="1" applyNumberFormat="1">
      <alignment horizontal="center" vertical="top" wrapText="1"/>
    </xf>
    <xf numFmtId="49" fontId="95" fillId="0" borderId="30" xfId="0" applyFont="1" applyBorder="1" applyNumberFormat="1">
      <alignment horizontal="center" vertical="top" wrapText="1"/>
    </xf>
    <xf numFmtId="49" fontId="95" fillId="0" borderId="14" xfId="0" applyFont="1" applyBorder="1" applyNumberFormat="1">
      <alignment horizontal="center" vertical="top" wrapText="1"/>
    </xf>
    <xf numFmtId="49" fontId="95" fillId="0" borderId="15" xfId="0" applyFont="1" applyBorder="1" applyNumberFormat="1">
      <alignment horizontal="center" vertical="top" wrapText="1"/>
    </xf>
    <xf numFmtId="49" fontId="95" fillId="0" borderId="13" xfId="0" applyFont="1" applyBorder="1" applyNumberFormat="1">
      <alignment horizontal="center" vertical="top" wrapText="1"/>
    </xf>
    <xf numFmtId="49" fontId="95" fillId="0" borderId="17" xfId="0" applyFont="1" applyBorder="1" applyNumberFormat="1">
      <alignment horizontal="center" vertical="top" wrapText="1"/>
    </xf>
    <xf numFmtId="49" fontId="95" fillId="0" borderId="36" xfId="0" applyFont="1" applyBorder="1" applyNumberFormat="1">
      <alignment horizontal="center" vertical="top" wrapText="1"/>
    </xf>
    <xf numFmtId="49" fontId="95" fillId="0" borderId="23" xfId="0" applyFont="1" applyBorder="1" applyNumberFormat="1">
      <alignment horizontal="center" vertical="top" wrapText="1"/>
    </xf>
    <xf numFmtId="179" fontId="0" fillId="39" borderId="12" xfId="0" applyFont="1" applyFill="1" applyBorder="1" applyNumberFormat="1">
      <alignment horizontal="center" vertical="center" wrapText="1"/>
      <protection locked="0"/>
    </xf>
    <xf numFmtId="0" fontId="45" fillId="0" borderId="19" xfId="0" applyFont="1" applyBorder="1">
      <alignment horizontal="left" vertical="center" wrapText="1" indent="1"/>
    </xf>
    <xf numFmtId="0" fontId="45" fillId="0" borderId="27" xfId="0" applyFont="1" applyBorder="1">
      <alignment horizontal="left" vertical="center" wrapText="1" indent="1"/>
    </xf>
    <xf numFmtId="0" fontId="22" fillId="0" borderId="0" xfId="0" applyFont="1">
      <alignment horizontal="right" vertical="center" wrapText="1"/>
    </xf>
    <xf numFmtId="4" fontId="22" fillId="34" borderId="12" xfId="0" applyFont="1" applyFill="1" applyBorder="1" applyNumberFormat="1">
      <alignment horizontal="left" vertical="center" wrapText="1"/>
    </xf>
    <xf numFmtId="0" fontId="46" fillId="0" borderId="0" xfId="0" applyFont="1">
      <alignment horizontal="center" vertical="center" wrapText="1"/>
    </xf>
    <xf numFmtId="49" fontId="0" fillId="0" borderId="12" xfId="0" applyFont="1" applyBorder="1" applyNumberFormat="1">
      <alignment horizontal="center" vertical="top"/>
    </xf>
    <xf numFmtId="49" fontId="0" fillId="0" borderId="14" xfId="0" applyFont="1" applyBorder="1" applyNumberFormat="1">
      <alignment horizontal="center" vertical="top"/>
    </xf>
    <xf numFmtId="0" fontId="46" fillId="0" borderId="17" xfId="0" applyFont="1" applyBorder="1">
      <alignment horizontal="center" vertical="center" wrapText="1"/>
    </xf>
    <xf numFmtId="0" fontId="22" fillId="0" borderId="19" xfId="0" applyFont="1" applyBorder="1">
      <alignment horizontal="center" vertical="center" wrapText="1"/>
    </xf>
    <xf numFmtId="0" fontId="22" fillId="0" borderId="27" xfId="0" applyFont="1" applyBorder="1">
      <alignment horizontal="center" vertical="center" wrapText="1"/>
    </xf>
    <xf numFmtId="49" fontId="0" fillId="0" borderId="15" xfId="0" applyFont="1" applyBorder="1" applyNumberFormat="1">
      <alignment horizontal="left" vertical="center" indent="1"/>
    </xf>
    <xf numFmtId="49" fontId="0" fillId="0" borderId="25" xfId="0" applyFont="1" applyBorder="1" applyNumberFormat="1">
      <alignment horizontal="center" vertical="center"/>
    </xf>
    <xf numFmtId="49" fontId="0" fillId="0" borderId="12" xfId="61" applyFont="1" applyBorder="1" applyNumberFormat="1">
      <alignment vertical="top"/>
    </xf>
    <xf numFmtId="49" fontId="0" fillId="0" borderId="14" xfId="61" applyFont="1" applyBorder="1" applyNumberFormat="1">
      <alignment vertical="top"/>
    </xf>
    <xf numFmtId="49" fontId="0" fillId="0" borderId="12" xfId="61" applyFont="1" applyBorder="1" applyNumberFormat="1">
      <alignment horizontal="center" vertical="top"/>
    </xf>
    <xf numFmtId="49" fontId="0" fillId="0" borderId="14" xfId="61" applyFont="1" applyBorder="1" applyNumberFormat="1">
      <alignment horizontal="center" vertical="top"/>
    </xf>
    <xf numFmtId="49" fontId="0" fillId="43" borderId="17" xfId="61" applyFont="1" applyFill="1" applyBorder="1" applyNumberFormat="1">
      <alignment vertical="top"/>
    </xf>
    <xf numFmtId="49" fontId="0" fillId="44" borderId="12" xfId="61" applyFont="1" applyFill="1" applyBorder="1" applyNumberFormat="1">
      <alignment vertical="top"/>
    </xf>
    <xf numFmtId="49" fontId="0" fillId="0" borderId="15" xfId="61" applyFont="1" applyBorder="1" applyNumberFormat="1">
      <alignment horizontal="center" vertical="top"/>
    </xf>
    <xf numFmtId="49" fontId="0" fillId="3" borderId="12" xfId="61" applyFont="1" applyFill="1" applyBorder="1" applyNumberFormat="1">
      <alignment vertical="top"/>
    </xf>
    <xf numFmtId="49" fontId="0" fillId="45" borderId="12" xfId="61" applyFont="1" applyFill="1" applyBorder="1" applyNumberFormat="1">
      <alignment vertical="top"/>
    </xf>
    <xf numFmtId="49" fontId="0" fillId="16" borderId="17" xfId="61" applyFont="1" applyFill="1" applyBorder="1" applyNumberFormat="1">
      <alignment vertical="top"/>
    </xf>
    <xf numFmtId="49" fontId="0" fillId="5" borderId="14" xfId="61" applyFont="1" applyFill="1" applyBorder="1" applyNumberFormat="1">
      <alignment vertical="top"/>
    </xf>
    <xf numFmtId="49" fontId="0" fillId="5" borderId="12" xfId="61" applyFont="1" applyFill="1" applyBorder="1" applyNumberFormat="1">
      <alignment vertical="top"/>
    </xf>
    <xf numFmtId="49" fontId="0" fillId="16" borderId="12" xfId="61" applyFont="1" applyFill="1" applyBorder="1" applyNumberFormat="1">
      <alignment vertical="top"/>
    </xf>
    <xf numFmtId="0" fontId="29" fillId="0" borderId="0" xfId="0" applyFont="1"/>
    <xf numFmtId="179" fontId="0" fillId="39" borderId="12" xfId="0" applyFont="1" applyFill="1" applyBorder="1" applyNumberFormat="1">
      <alignment horizontal="left" vertical="center" wrapText="1" indent="1"/>
      <protection locked="0"/>
    </xf>
    <xf numFmtId="49" fontId="22" fillId="39" borderId="12" xfId="0" applyFont="1" applyFill="1" applyBorder="1" applyNumberFormat="1">
      <alignment horizontal="left" vertical="center" wrapText="1" indent="1"/>
      <protection locked="0"/>
    </xf>
    <xf numFmtId="49" fontId="27" fillId="39" borderId="12" xfId="0" applyFont="1" applyFill="1" applyBorder="1" applyNumberFormat="1">
      <alignment horizontal="left" vertical="center" wrapText="1" indent="1"/>
      <protection locked="0"/>
    </xf>
    <xf numFmtId="0" fontId="22" fillId="40" borderId="12" xfId="0" applyFont="1" applyFill="1" applyBorder="1">
      <alignment horizontal="left" vertical="top" wrapText="1"/>
    </xf>
    <xf numFmtId="49" fontId="0" fillId="35" borderId="12" xfId="0" applyFont="1" applyFill="1" applyBorder="1" applyNumberFormat="1">
      <alignment horizontal="left" vertical="center" wrapText="1"/>
    </xf>
    <xf numFmtId="0" fontId="39" fillId="37" borderId="14" xfId="0" applyFont="1" applyFill="1" applyBorder="1">
      <alignment horizontal="left" vertical="center"/>
    </xf>
    <xf numFmtId="0" fontId="39" fillId="37" borderId="15" xfId="0" applyFont="1" applyFill="1" applyBorder="1">
      <alignment horizontal="left" vertical="center"/>
    </xf>
    <xf numFmtId="0" fontId="39" fillId="37" borderId="15" xfId="0" applyFont="1" applyFill="1" applyBorder="1">
      <alignment horizontal="left" vertical="center"/>
    </xf>
    <xf numFmtId="0" fontId="39" fillId="37" borderId="13" xfId="0" applyFont="1" applyFill="1" applyBorder="1">
      <alignment horizontal="left" vertical="center"/>
    </xf>
    <xf numFmtId="49" fontId="0" fillId="40" borderId="12" xfId="0" applyFont="1" applyFill="1" applyBorder="1" applyNumberFormat="1">
      <alignment horizontal="left" vertical="top"/>
    </xf>
    <xf numFmtId="0" fontId="39" fillId="37" borderId="14" xfId="0" applyFont="1" applyFill="1" applyBorder="1">
      <alignment horizontal="left" vertical="center"/>
    </xf>
    <xf numFmtId="0" fontId="39" fillId="37" borderId="15" xfId="0" applyFont="1" applyFill="1" applyBorder="1">
      <alignment horizontal="left" vertical="center"/>
    </xf>
    <xf numFmtId="0" fontId="39" fillId="37" borderId="15" xfId="0" applyFont="1" applyFill="1" applyBorder="1">
      <alignment horizontal="left" vertical="center"/>
    </xf>
    <xf numFmtId="0" fontId="0" fillId="37" borderId="15" xfId="0" applyFont="1" applyFill="1" applyBorder="1">
      <alignment vertical="center"/>
    </xf>
    <xf numFmtId="0" fontId="0" fillId="37" borderId="15" xfId="0" applyFont="1" applyFill="1" applyBorder="1">
      <alignment vertical="center"/>
    </xf>
    <xf numFmtId="0" fontId="0" fillId="37" borderId="15" xfId="0" applyFont="1" applyFill="1" applyBorder="1">
      <alignment vertical="center"/>
    </xf>
    <xf numFmtId="0" fontId="0" fillId="37" borderId="15" xfId="0" applyFont="1" applyFill="1" applyBorder="1">
      <alignment vertical="center"/>
    </xf>
    <xf numFmtId="0" fontId="39" fillId="37" borderId="13" xfId="0" applyFont="1" applyFill="1" applyBorder="1">
      <alignment horizontal="left" vertical="center"/>
    </xf>
    <xf numFmtId="0" fontId="39" fillId="37" borderId="14" xfId="0" applyFont="1" applyFill="1" applyBorder="1">
      <alignment horizontal="left" vertical="center"/>
    </xf>
    <xf numFmtId="0" fontId="39" fillId="37" borderId="15" xfId="0" applyFont="1" applyFill="1" applyBorder="1">
      <alignment horizontal="left" vertical="center"/>
    </xf>
    <xf numFmtId="0" fontId="39" fillId="37" borderId="15" xfId="0" applyFont="1" applyFill="1" applyBorder="1">
      <alignment horizontal="left" vertical="center"/>
    </xf>
    <xf numFmtId="0" fontId="39" fillId="37" borderId="15" xfId="0" applyFont="1" applyFill="1" applyBorder="1">
      <alignment horizontal="left" vertical="center"/>
    </xf>
    <xf numFmtId="0" fontId="39" fillId="37" borderId="15" xfId="0" applyFont="1" applyFill="1" applyBorder="1">
      <alignment horizontal="left" vertical="center"/>
    </xf>
    <xf numFmtId="0" fontId="39" fillId="37" borderId="15" xfId="0" applyFont="1" applyFill="1" applyBorder="1">
      <alignment horizontal="left" vertical="center"/>
    </xf>
    <xf numFmtId="0" fontId="39" fillId="37" borderId="15" xfId="0" applyFont="1" applyFill="1" applyBorder="1">
      <alignment horizontal="left" vertical="center"/>
    </xf>
    <xf numFmtId="0" fontId="0" fillId="37" borderId="15" xfId="0" applyFont="1" applyFill="1" applyBorder="1">
      <alignment vertical="center"/>
    </xf>
    <xf numFmtId="0" fontId="0" fillId="37" borderId="15" xfId="0" applyFont="1" applyFill="1" applyBorder="1">
      <alignment vertical="center"/>
    </xf>
    <xf numFmtId="0" fontId="0" fillId="37" borderId="15" xfId="0" applyFont="1" applyFill="1" applyBorder="1">
      <alignment vertical="center"/>
    </xf>
    <xf numFmtId="0" fontId="0" fillId="37" borderId="15" xfId="0" applyFont="1" applyFill="1" applyBorder="1">
      <alignment vertical="center"/>
    </xf>
    <xf numFmtId="0" fontId="39" fillId="37" borderId="13" xfId="0" applyFont="1" applyFill="1" applyBorder="1">
      <alignment horizontal="left" vertical="center"/>
    </xf>
    <xf numFmtId="49" fontId="0" fillId="35" borderId="12" xfId="0" applyFont="1" applyFill="1" applyBorder="1" applyNumberFormat="1">
      <alignment horizontal="left" vertical="center" wrapText="1"/>
    </xf>
    <xf numFmtId="49" fontId="0" fillId="35" borderId="12" xfId="0" applyFont="1" applyFill="1" applyBorder="1" applyNumberFormat="1">
      <alignment horizontal="left" vertical="center" wrapText="1"/>
    </xf>
    <xf numFmtId="0" fontId="39" fillId="37" borderId="14" xfId="0" applyFont="1" applyFill="1" applyBorder="1">
      <alignment horizontal="left" vertical="center"/>
    </xf>
    <xf numFmtId="0" fontId="39" fillId="37" borderId="15" xfId="0" applyFont="1" applyFill="1" applyBorder="1">
      <alignment horizontal="left" vertical="center"/>
    </xf>
    <xf numFmtId="0" fontId="39" fillId="37" borderId="15" xfId="0" applyFont="1" applyFill="1" applyBorder="1">
      <alignment horizontal="left" vertical="center"/>
    </xf>
    <xf numFmtId="0" fontId="39" fillId="37" borderId="15" xfId="0" applyFont="1" applyFill="1" applyBorder="1">
      <alignment horizontal="left" vertical="center"/>
    </xf>
    <xf numFmtId="0" fontId="39" fillId="37" borderId="15" xfId="0" applyFont="1" applyFill="1" applyBorder="1">
      <alignment horizontal="left" vertical="center"/>
    </xf>
    <xf numFmtId="0" fontId="39" fillId="37" borderId="15" xfId="0" applyFont="1" applyFill="1" applyBorder="1">
      <alignment horizontal="left" vertical="center"/>
    </xf>
    <xf numFmtId="0" fontId="39" fillId="37" borderId="15" xfId="0" applyFont="1" applyFill="1" applyBorder="1">
      <alignment horizontal="left" vertical="center"/>
    </xf>
    <xf numFmtId="0" fontId="39" fillId="37" borderId="15" xfId="0" applyFont="1" applyFill="1" applyBorder="1">
      <alignment horizontal="left" vertical="center"/>
    </xf>
    <xf numFmtId="0" fontId="39" fillId="37" borderId="15" xfId="0" applyFont="1" applyFill="1" applyBorder="1">
      <alignment horizontal="left" vertical="center"/>
    </xf>
    <xf numFmtId="0" fontId="39" fillId="37" borderId="15" xfId="0" applyFont="1" applyFill="1" applyBorder="1">
      <alignment horizontal="left" vertical="center"/>
    </xf>
    <xf numFmtId="0" fontId="39" fillId="37" borderId="15" xfId="0" applyFont="1" applyFill="1" applyBorder="1">
      <alignment horizontal="left" vertical="center"/>
    </xf>
    <xf numFmtId="0" fontId="0" fillId="37" borderId="15" xfId="0" applyFont="1" applyFill="1" applyBorder="1">
      <alignment vertical="center"/>
    </xf>
    <xf numFmtId="0" fontId="0" fillId="37" borderId="15" xfId="0" applyFont="1" applyFill="1" applyBorder="1">
      <alignment vertical="center"/>
    </xf>
    <xf numFmtId="0" fontId="0" fillId="37" borderId="15" xfId="0" applyFont="1" applyFill="1" applyBorder="1">
      <alignment vertical="center"/>
    </xf>
    <xf numFmtId="0" fontId="0" fillId="37" borderId="15" xfId="0" applyFont="1" applyFill="1" applyBorder="1">
      <alignment vertical="center"/>
    </xf>
    <xf numFmtId="0" fontId="39" fillId="37" borderId="13" xfId="0" applyFont="1" applyFill="1" applyBorder="1">
      <alignment horizontal="left" vertical="center"/>
    </xf>
    <xf numFmtId="49" fontId="0" fillId="0" borderId="12" xfId="0" applyFont="1" applyBorder="1" applyNumberFormat="1">
      <alignment horizontal="left" vertical="center" wrapText="1"/>
    </xf>
    <xf numFmtId="179" fontId="0" fillId="0" borderId="12" xfId="0" applyFont="1" applyBorder="1" applyNumberFormat="1">
      <alignment horizontal="left" vertical="center" wrapText="1" inden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0"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0"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0"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0" fillId="37" borderId="15" xfId="0" applyFont="1" applyFill="1" applyBorder="1" applyNumberFormat="1">
      <alignment horizontal="center" vertical="center" wrapText="1"/>
    </xf>
    <xf numFmtId="49" fontId="73" fillId="37" borderId="14" xfId="0" applyFont="1" applyFill="1" applyBorder="1" applyNumberFormat="1">
      <alignment horizontal="left" vertical="center"/>
    </xf>
    <xf numFmtId="49" fontId="39" fillId="37" borderId="15" xfId="0" applyFont="1" applyFill="1" applyBorder="1" applyNumberFormat="1">
      <alignment horizontal="left" vertical="center" indent="6"/>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3" xfId="0" applyFont="1" applyFill="1" applyBorder="1" applyNumberFormat="1">
      <alignment horizontal="center" vertical="center" wrapText="1"/>
    </xf>
    <xf numFmtId="49" fontId="73" fillId="37" borderId="14" xfId="0" applyFont="1" applyFill="1" applyBorder="1" applyNumberFormat="1">
      <alignment horizontal="left" vertical="center"/>
    </xf>
    <xf numFmtId="49" fontId="39" fillId="37" borderId="15" xfId="0" applyFont="1" applyFill="1" applyBorder="1" applyNumberFormat="1">
      <alignment horizontal="left" vertical="center" indent="6"/>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3" xfId="0" applyFont="1" applyFill="1" applyBorder="1" applyNumberFormat="1">
      <alignment horizontal="center" vertical="center" wrapText="1"/>
    </xf>
    <xf numFmtId="49" fontId="73" fillId="37" borderId="14" xfId="0" applyFont="1" applyFill="1" applyBorder="1" applyNumberFormat="1">
      <alignment horizontal="left" vertical="center"/>
    </xf>
    <xf numFmtId="49" fontId="39" fillId="37" borderId="15" xfId="0" applyFont="1" applyFill="1" applyBorder="1" applyNumberFormat="1">
      <alignment horizontal="left" vertical="center" indent="6"/>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3" xfId="0" applyFont="1" applyFill="1" applyBorder="1" applyNumberFormat="1">
      <alignment horizontal="center" vertical="center" wrapText="1"/>
    </xf>
    <xf numFmtId="49" fontId="73" fillId="37" borderId="14" xfId="0" applyFont="1" applyFill="1" applyBorder="1" applyNumberFormat="1">
      <alignment horizontal="left" vertical="center"/>
    </xf>
    <xf numFmtId="49" fontId="39" fillId="37" borderId="15" xfId="0" applyFont="1" applyFill="1" applyBorder="1" applyNumberFormat="1">
      <alignment horizontal="left" vertical="center" indent="5"/>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0"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0"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0"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0" fillId="37" borderId="13" xfId="0" applyFont="1" applyFill="1" applyBorder="1" applyNumberFormat="1">
      <alignment horizontal="center" vertical="center" wrapText="1"/>
    </xf>
    <xf numFmtId="49" fontId="73" fillId="37" borderId="14" xfId="0" applyFont="1" applyFill="1" applyBorder="1" applyNumberFormat="1">
      <alignment horizontal="left" vertical="center"/>
    </xf>
    <xf numFmtId="49" fontId="39" fillId="37" borderId="15" xfId="0" applyFont="1" applyFill="1" applyBorder="1" applyNumberFormat="1">
      <alignment horizontal="left" vertical="center" indent="4"/>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0"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0"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0"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0" fillId="37" borderId="13" xfId="0" applyFont="1" applyFill="1" applyBorder="1" applyNumberFormat="1">
      <alignment horizontal="center" vertical="center" wrapText="1"/>
    </xf>
    <xf numFmtId="49" fontId="39" fillId="37" borderId="27" xfId="0" applyFont="1" applyFill="1" applyBorder="1" applyNumberFormat="1">
      <alignment horizontal="left" vertical="center"/>
    </xf>
    <xf numFmtId="49" fontId="39" fillId="37" borderId="15" xfId="0" applyFont="1" applyFill="1" applyBorder="1" applyNumberFormat="1">
      <alignment horizontal="left" vertical="center"/>
    </xf>
    <xf numFmtId="49" fontId="39" fillId="37" borderId="15" xfId="0" applyFont="1" applyFill="1" applyBorder="1" applyNumberFormat="1">
      <alignment horizontal="left" vertical="center" indent="2"/>
    </xf>
    <xf numFmtId="49" fontId="39" fillId="37" borderId="27" xfId="0" applyFont="1" applyFill="1" applyBorder="1" applyNumberFormat="1">
      <alignment horizontal="left" vertical="center"/>
    </xf>
    <xf numFmtId="49" fontId="43" fillId="37" borderId="13" xfId="0" applyFont="1" applyFill="1" applyBorder="1" applyNumberFormat="1">
      <alignment horizontal="center" vertical="top"/>
    </xf>
    <xf numFmtId="49" fontId="27" fillId="39" borderId="12" xfId="0" applyFont="1" applyFill="1" applyBorder="1" applyNumberFormat="1">
      <alignment horizontal="left" vertical="center" wrapText="1"/>
      <protection locked="0"/>
    </xf>
    <xf numFmtId="49" fontId="39" fillId="37" borderId="27" xfId="0" applyFont="1" applyFill="1" applyBorder="1" applyNumberFormat="1">
      <alignment horizontal="left" vertical="center"/>
    </xf>
    <xf numFmtId="49" fontId="39" fillId="37" borderId="15" xfId="0" applyFont="1" applyFill="1" applyBorder="1" applyNumberFormat="1">
      <alignment horizontal="left" vertical="center"/>
    </xf>
    <xf numFmtId="49" fontId="39" fillId="37" borderId="15" xfId="0" applyFont="1" applyFill="1" applyBorder="1" applyNumberFormat="1">
      <alignment horizontal="left" vertical="center" indent="2"/>
    </xf>
    <xf numFmtId="49" fontId="39" fillId="37" borderId="27" xfId="0" applyFont="1" applyFill="1" applyBorder="1" applyNumberFormat="1">
      <alignment horizontal="left" vertical="center"/>
    </xf>
    <xf numFmtId="49" fontId="43" fillId="37" borderId="13" xfId="0" applyFont="1" applyFill="1" applyBorder="1" applyNumberFormat="1">
      <alignment horizontal="center" vertical="top"/>
    </xf>
    <xf numFmtId="49" fontId="39" fillId="37" borderId="27" xfId="0" applyFont="1" applyFill="1" applyBorder="1" applyNumberFormat="1">
      <alignment horizontal="left" vertical="center"/>
    </xf>
    <xf numFmtId="49" fontId="39" fillId="37" borderId="15" xfId="0" applyFont="1" applyFill="1" applyBorder="1" applyNumberFormat="1">
      <alignment horizontal="left" vertical="center"/>
    </xf>
    <xf numFmtId="49" fontId="39" fillId="37" borderId="15" xfId="0" applyFont="1" applyFill="1" applyBorder="1" applyNumberFormat="1">
      <alignment horizontal="left" vertical="center" indent="2"/>
    </xf>
    <xf numFmtId="49" fontId="39" fillId="37" borderId="27" xfId="0" applyFont="1" applyFill="1" applyBorder="1" applyNumberFormat="1">
      <alignment horizontal="left" vertical="center"/>
    </xf>
    <xf numFmtId="49" fontId="43" fillId="37" borderId="13" xfId="0" applyFont="1" applyFill="1" applyBorder="1" applyNumberFormat="1">
      <alignment horizontal="center" vertical="top"/>
    </xf>
    <xf numFmtId="49" fontId="39" fillId="37" borderId="27" xfId="0" applyFont="1" applyFill="1" applyBorder="1" applyNumberFormat="1">
      <alignment horizontal="left" vertical="center"/>
    </xf>
    <xf numFmtId="49" fontId="39" fillId="37" borderId="15" xfId="0" applyFont="1" applyFill="1" applyBorder="1" applyNumberFormat="1">
      <alignment horizontal="left" vertical="center"/>
    </xf>
    <xf numFmtId="49" fontId="39" fillId="37" borderId="15" xfId="0" applyFont="1" applyFill="1" applyBorder="1" applyNumberFormat="1">
      <alignment horizontal="left" vertical="center" indent="2"/>
    </xf>
    <xf numFmtId="49" fontId="39" fillId="37" borderId="27" xfId="0" applyFont="1" applyFill="1" applyBorder="1" applyNumberFormat="1">
      <alignment horizontal="left" vertical="center"/>
    </xf>
    <xf numFmtId="49" fontId="43" fillId="37" borderId="13" xfId="0" applyFont="1" applyFill="1" applyBorder="1" applyNumberFormat="1">
      <alignment horizontal="center" vertical="top"/>
    </xf>
    <xf numFmtId="49" fontId="39" fillId="37" borderId="27" xfId="0" applyFont="1" applyFill="1" applyBorder="1" applyNumberFormat="1">
      <alignment horizontal="left" vertical="center"/>
    </xf>
    <xf numFmtId="49" fontId="39" fillId="37" borderId="15" xfId="0" applyFont="1" applyFill="1" applyBorder="1" applyNumberFormat="1">
      <alignment horizontal="left" vertical="center"/>
    </xf>
    <xf numFmtId="49" fontId="39" fillId="37" borderId="15" xfId="0" applyFont="1" applyFill="1" applyBorder="1" applyNumberFormat="1">
      <alignment horizontal="left" vertical="center" indent="2"/>
    </xf>
    <xf numFmtId="49" fontId="39" fillId="37" borderId="27" xfId="0" applyFont="1" applyFill="1" applyBorder="1" applyNumberFormat="1">
      <alignment horizontal="left" vertical="center"/>
    </xf>
    <xf numFmtId="49" fontId="43" fillId="37" borderId="13" xfId="0" applyFont="1" applyFill="1" applyBorder="1" applyNumberFormat="1">
      <alignment horizontal="center" vertical="top"/>
    </xf>
    <xf numFmtId="49" fontId="27" fillId="39" borderId="12" xfId="0" applyFont="1" applyFill="1" applyBorder="1" applyNumberFormat="1">
      <alignment horizontal="left" vertical="center" wrapText="1"/>
      <protection locked="0"/>
    </xf>
    <xf numFmtId="0" fontId="29" fillId="0" borderId="0" xfId="0" applyFont="1"/>
    <xf numFmtId="0" fontId="22" fillId="0" borderId="0" xfId="61" applyFont="1" applyNumberFormat="1">
      <alignment vertical="center" wrapText="1"/>
    </xf>
    <xf numFmtId="0" fontId="22" fillId="34" borderId="13" xfId="61" applyFont="1" applyFill="1" applyBorder="1" applyNumberFormat="1">
      <alignment horizontal="left" vertical="center" wrapText="1"/>
    </xf>
    <xf numFmtId="0" fontId="22" fillId="40" borderId="13" xfId="61" applyFont="1" applyFill="1" applyBorder="1" applyNumberFormat="1">
      <alignment horizontal="left" vertical="center" wrapText="1"/>
    </xf>
    <xf numFmtId="49" fontId="22" fillId="40" borderId="12" xfId="61" applyFont="1" applyFill="1" applyBorder="1" applyNumberFormat="1">
      <alignment horizontal="center" vertical="center" wrapText="1"/>
    </xf>
    <xf numFmtId="49" fontId="22" fillId="37" borderId="15" xfId="61" applyFont="1" applyFill="1" applyBorder="1" applyNumberFormat="1">
      <alignment horizontal="center" vertical="center" wrapText="1"/>
    </xf>
    <xf numFmtId="49" fontId="0" fillId="37" borderId="15" xfId="61" applyFont="1" applyFill="1" applyBorder="1" applyNumberFormat="1">
      <alignment horizontal="center" vertical="center" wrapText="1"/>
    </xf>
    <xf numFmtId="49" fontId="0" fillId="37" borderId="15" xfId="61" applyFont="1" applyFill="1" applyBorder="1" applyNumberFormat="1">
      <alignment horizontal="center" vertical="center" wrapText="1"/>
    </xf>
    <xf numFmtId="49" fontId="47" fillId="0" borderId="19" xfId="61" applyFont="1" applyBorder="1" applyNumberFormat="1">
      <alignment horizontal="center" vertical="center" wrapText="1"/>
    </xf>
    <xf numFmtId="49" fontId="47" fillId="0" borderId="0" xfId="61" applyFont="1" applyNumberFormat="1">
      <alignment horizontal="center" vertical="center" wrapText="1"/>
    </xf>
    <xf numFmtId="0" fontId="46" fillId="0" borderId="0" xfId="61" applyFont="1" applyNumberFormat="1">
      <alignment vertical="center" wrapText="1"/>
    </xf>
    <xf numFmtId="0" fontId="46" fillId="0" borderId="0" xfId="61" applyFont="1" applyNumberFormat="1">
      <alignment vertical="center"/>
    </xf>
    <xf numFmtId="0" fontId="22" fillId="0" borderId="19" xfId="61" applyFont="1" applyBorder="1" applyNumberFormat="1">
      <alignment horizontal="left" vertical="top" wrapText="1" indent="1"/>
    </xf>
    <xf numFmtId="0" fontId="22" fillId="0" borderId="27" xfId="61" applyFont="1" applyBorder="1" applyNumberFormat="1">
      <alignment horizontal="left" vertical="center" wrapText="1" indent="1"/>
    </xf>
    <xf numFmtId="0" fontId="49" fillId="35" borderId="0" xfId="61" applyFont="1" applyFill="1" applyNumberFormat="1">
      <alignment horizontal="center" vertical="center" wrapText="1"/>
    </xf>
    <xf numFmtId="0" fontId="47" fillId="0" borderId="0" xfId="61" applyFont="1" applyNumberFormat="1">
      <alignment vertical="center" wrapText="1"/>
    </xf>
    <xf numFmtId="0" fontId="36" fillId="0" borderId="27" xfId="61" applyFont="1" applyBorder="1" applyNumberFormat="1">
      <alignment horizontal="center" vertical="center" wrapText="1"/>
    </xf>
    <xf numFmtId="0" fontId="22" fillId="0" borderId="12" xfId="61" applyFont="1" applyBorder="1" applyNumberFormat="1">
      <alignment horizontal="center" vertical="center" wrapText="1"/>
    </xf>
    <xf numFmtId="0" fontId="22" fillId="35" borderId="17" xfId="61" applyFont="1" applyFill="1" applyBorder="1" applyNumberFormat="1">
      <alignment horizontal="center" vertical="center" wrapText="1"/>
    </xf>
    <xf numFmtId="0" fontId="22" fillId="35" borderId="36" xfId="61" applyFont="1" applyFill="1" applyBorder="1" applyNumberFormat="1">
      <alignment horizontal="center" vertical="center" wrapText="1"/>
    </xf>
    <xf numFmtId="0" fontId="22" fillId="35" borderId="23" xfId="61" applyFont="1" applyFill="1" applyBorder="1" applyNumberFormat="1">
      <alignment horizontal="center" vertical="center" wrapText="1"/>
    </xf>
    <xf numFmtId="0" fontId="80" fillId="35" borderId="19" xfId="61" applyFont="1" applyFill="1" applyBorder="1" applyNumberFormat="1">
      <alignment horizontal="center" vertical="center" wrapText="1"/>
    </xf>
    <xf numFmtId="49" fontId="22" fillId="37" borderId="15" xfId="61" applyFont="1" applyFill="1" applyBorder="1" applyNumberFormat="1">
      <alignment horizontal="center" vertical="center" wrapText="1"/>
    </xf>
    <xf numFmtId="49" fontId="0" fillId="37" borderId="15" xfId="61" applyFont="1" applyFill="1" applyBorder="1" applyNumberFormat="1">
      <alignment horizontal="center" vertical="center" wrapText="1"/>
    </xf>
    <xf numFmtId="49" fontId="0" fillId="37" borderId="15" xfId="61" applyFont="1" applyFill="1" applyBorder="1" applyNumberFormat="1">
      <alignment horizontal="center" vertical="center" wrapText="1"/>
    </xf>
    <xf numFmtId="49" fontId="22" fillId="37" borderId="15" xfId="61" applyFont="1" applyFill="1" applyBorder="1" applyNumberFormat="1">
      <alignment horizontal="center" vertical="center" wrapText="1"/>
    </xf>
    <xf numFmtId="49" fontId="22" fillId="37" borderId="15" xfId="61" applyFont="1" applyFill="1" applyBorder="1" applyNumberFormat="1">
      <alignment horizontal="center" vertical="center" wrapText="1"/>
    </xf>
    <xf numFmtId="49" fontId="22" fillId="37" borderId="15" xfId="61" applyFont="1" applyFill="1" applyBorder="1" applyNumberFormat="1">
      <alignment horizontal="center" vertical="center" wrapText="1"/>
    </xf>
    <xf numFmtId="49" fontId="0" fillId="37" borderId="15" xfId="61" applyFont="1" applyFill="1" applyBorder="1" applyNumberFormat="1">
      <alignment horizontal="center" vertical="center" wrapText="1"/>
    </xf>
    <xf numFmtId="49" fontId="0" fillId="37" borderId="15" xfId="61" applyFont="1" applyFill="1" applyBorder="1" applyNumberFormat="1">
      <alignment horizontal="center" vertical="center" wrapText="1"/>
    </xf>
    <xf numFmtId="0" fontId="22" fillId="0" borderId="0" xfId="61" applyFont="1" applyNumberFormat="1">
      <alignment horizontal="left" vertical="top" wrapText="1"/>
    </xf>
    <xf numFmtId="0" fontId="29" fillId="0" borderId="0" xfId="62" applyFont="1"/>
  </cellXfs>
  <cellStyles count="79">
    <cellStyle name="Normal" xfId="0" builtinId="0"/>
    <cellStyle name="20% - Accent1" xfId="1" builtinId="30"/>
    <cellStyle name="20% - Accent2" xfId="2" builtinId="34"/>
    <cellStyle name="20% - Accent3" xfId="3" builtinId="38"/>
    <cellStyle name="20% - Accent4" xfId="4" builtinId="42"/>
    <cellStyle name="20% - Accent5" xfId="5" builtinId="46"/>
    <cellStyle name="20% - Accent6" xfId="6" builtinId="50"/>
    <cellStyle name="40% - Accent1" xfId="7" builtinId="31"/>
    <cellStyle name="40% - Accent2" xfId="8" builtinId="35"/>
    <cellStyle name="40% - Accent3" xfId="9" builtinId="39"/>
    <cellStyle name="40% - Accent4" xfId="10" builtinId="43"/>
    <cellStyle name="40% - Accent5" xfId="11" builtinId="47"/>
    <cellStyle name="40% - Accent6" xfId="12" builtinId="51"/>
    <cellStyle name="60% - Accent1" xfId="13" builtinId="32"/>
    <cellStyle name="60% - Accent2" xfId="14" builtinId="36"/>
    <cellStyle name="60% - Accent3" xfId="15" builtinId="40"/>
    <cellStyle name="60% - Accent4" xfId="16" builtinId="44"/>
    <cellStyle name="60% - Accent5" xfId="17" builtinId="48"/>
    <cellStyle name="60% - Accent6" xfId="18" builtinId="52"/>
    <cellStyle name="Accent1" xfId="19" builtinId="29"/>
    <cellStyle name="Accent2" xfId="20" builtinId="33"/>
    <cellStyle name="Accent3" xfId="21" builtinId="37"/>
    <cellStyle name="Accent4" xfId="22" builtinId="41"/>
    <cellStyle name="Accent5" xfId="23" builtinId="45"/>
    <cellStyle name="Accent6" xfId="24" builtinId="49"/>
    <cellStyle name="Bad" xfId="25" builtinId="27"/>
    <cellStyle name="Calculation" xfId="26" builtinId="22"/>
    <cellStyle name="Check Cell" xfId="27" builtinId="23"/>
    <cellStyle name="Comma" xfId="28" builtinId="3"/>
    <cellStyle name="Comma [0]" xfId="29" builtinId="6"/>
    <cellStyle name="Currency" xfId="30" builtinId="4"/>
    <cellStyle name="Currency [0]" xfId="31" builtinId="7"/>
    <cellStyle name="Explanatory Text" xfId="32" builtinId="53"/>
    <cellStyle name="Good" xfId="33" builtinId="26"/>
    <cellStyle name="Heading 1" xfId="34" builtinId="16"/>
    <cellStyle name="Heading 2" xfId="35" builtinId="17"/>
    <cellStyle name="Heading 3" xfId="36" builtinId="18"/>
    <cellStyle name="Heading 4" xfId="37" builtinId="19"/>
    <cellStyle name="Input" xfId="38" builtinId="20"/>
    <cellStyle name="Linked Cell" xfId="39" builtinId="24"/>
    <cellStyle name="Neutral" xfId="40" builtinId="28"/>
    <cellStyle name="normal" xfId="41"/>
    <cellStyle name="Note" xfId="42" builtinId="10"/>
    <cellStyle name="Output" xfId="43" builtinId="21"/>
    <cellStyle name="Percent" xfId="44" builtinId="5"/>
    <cellStyle name="Title" xfId="45" builtinId="15"/>
    <cellStyle name="Total" xfId="46" builtinId="25"/>
    <cellStyle name="Warning Text" xfId="47" builtinId="11"/>
    <cellStyle name=" 1" xfId="48"/>
    <cellStyle name=" 1 2" xfId="49"/>
    <cellStyle name=" 1_Stage1" xfId="48"/>
    <cellStyle name="_Model_RAB Мой_PR.PROG.WARM.NOTCOMBI.2012.2.16_v1.4(04.04.11) " xfId="50"/>
    <cellStyle name="_Model_RAB Мой_Книга2_PR.PROG.WARM.NOTCOMBI.2012.2.16_v1.4(04.04.11) " xfId="50"/>
    <cellStyle name="_Model_RAB_MRSK_svod_PR.PROG.WARM.NOTCOMBI.2012.2.16_v1.4(04.04.11) " xfId="50"/>
    <cellStyle name="_Model_RAB_MRSK_svod_Книга2_PR.PROG.WARM.NOTCOMBI.2012.2.16_v1.4(04.04.11) " xfId="50"/>
    <cellStyle name="_МОДЕЛЬ_1 (2)_PR.PROG.WARM.NOTCOMBI.2012.2.16_v1.4(04.04.11) " xfId="50"/>
    <cellStyle name="_МОДЕЛЬ_1 (2)_Книга2_PR.PROG.WARM.NOTCOMBI.2012.2.16_v1.4(04.04.11) " xfId="50"/>
    <cellStyle name="_пр 5 тариф RAB_PR.PROG.WARM.NOTCOMBI.2012.2.16_v1.4(04.04.11) " xfId="50"/>
    <cellStyle name="_пр 5 тариф RAB_Книга2_PR.PROG.WARM.NOTCOMBI.2012.2.16_v1.4(04.04.11) " xfId="50"/>
    <cellStyle name="_Расчет RAB_22072008_PR.PROG.WARM.NOTCOMBI.2012.2.16_v1.4(04.04.11) " xfId="50"/>
    <cellStyle name="_Расчет RAB_22072008_Книга2_PR.PROG.WARM.NOTCOMBI.2012.2.16_v1.4(04.04.11) " xfId="50"/>
    <cellStyle name="_Расчет RAB_Лен и МОЭСК_с 2010 года_14.04.2009_со сглаж_version 3.0_без ФСК_PR.PROG.WARM.NOTCOMBI.2012.2.16_v1.4(04.04.11) " xfId="50"/>
    <cellStyle name="_Расчет RAB_Лен и МОЭСК_с 2010 года_14.04.2009_со сглаж_version 3.0_без ФСК_Книга2_PR.PROG.WARM.NOTCOMBI.2012.2.16_v1.4(04.04.11) " xfId="50"/>
    <cellStyle name="currency1" xfId="51"/>
    <cellStyle name="Currency2" xfId="52"/>
    <cellStyle name="currency3" xfId="53"/>
    <cellStyle name="currency4" xfId="54"/>
    <cellStyle name="Followed Hyperlink" xfId="55"/>
    <cellStyle name="Hyperlink" xfId="56" builtinId="8"/>
    <cellStyle name="Normal1" xfId="57"/>
    <cellStyle name="Normal2" xfId="52"/>
    <cellStyle name="Percent1" xfId="52"/>
    <cellStyle name="Гиперссылка" xfId="58"/>
    <cellStyle name="Обычный 10" xfId="59"/>
    <cellStyle name="Обычный 16" xfId="60"/>
    <cellStyle name="Обычный 2" xfId="61"/>
    <cellStyle name="Обычный_BALANCE.WARM.2007YEAR(FACT)" xfId="62"/>
    <cellStyle name="Обычный_PRIL1.ELECTR" xfId="62"/>
    <cellStyle name="Открывавшаяся гиперссылка" xfId="63"/>
  </cellStyles>
  <dxfs count="0"/>
  <tableStyles count="0" defaultTableStyle="TableStyleMedium2" defaultPivotStyle="PivotStyleLight16"/>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worksheet" Target="worksheets/sheet1.xml"/><Relationship Id="rId3" Type="http://schemas.openxmlformats.org/officeDocument/2006/relationships/worksheet" Target="worksheets/sheet2.xml"/><Relationship Id="rId4" Type="http://schemas.openxmlformats.org/officeDocument/2006/relationships/worksheet" Target="worksheets/sheet3.xml"/><Relationship Id="rId5" Type="http://schemas.openxmlformats.org/officeDocument/2006/relationships/worksheet" Target="worksheets/sheet4.xml"/><Relationship Id="rId6" Type="http://schemas.openxmlformats.org/officeDocument/2006/relationships/worksheet" Target="worksheets/sheet5.xml"/><Relationship Id="rId7" Type="http://schemas.openxmlformats.org/officeDocument/2006/relationships/worksheet" Target="worksheets/sheet6.xml"/><Relationship Id="rId8" Type="http://schemas.openxmlformats.org/officeDocument/2006/relationships/worksheet" Target="worksheets/sheet7.xml"/><Relationship Id="rId9" Type="http://schemas.openxmlformats.org/officeDocument/2006/relationships/worksheet" Target="worksheets/sheet8.xml"/><Relationship Id="rId10" Type="http://schemas.openxmlformats.org/officeDocument/2006/relationships/worksheet" Target="worksheets/sheet9.xml"/><Relationship Id="rId11" Type="http://schemas.openxmlformats.org/officeDocument/2006/relationships/worksheet" Target="worksheets/sheet10.xml"/><Relationship Id="rId12" Type="http://schemas.openxmlformats.org/officeDocument/2006/relationships/worksheet" Target="worksheets/sheet11.xml"/><Relationship Id="rId13" Type="http://schemas.openxmlformats.org/officeDocument/2006/relationships/worksheet" Target="worksheets/sheet12.xml"/><Relationship Id="rId14" Type="http://schemas.openxmlformats.org/officeDocument/2006/relationships/worksheet" Target="worksheets/sheet13.xml"/><Relationship Id="rId15" Type="http://schemas.openxmlformats.org/officeDocument/2006/relationships/worksheet" Target="worksheets/sheet14.xml"/><Relationship Id="rId16" Type="http://schemas.openxmlformats.org/officeDocument/2006/relationships/worksheet" Target="worksheets/sheet15.xml"/><Relationship Id="rId17" Type="http://schemas.openxmlformats.org/officeDocument/2006/relationships/worksheet" Target="worksheets/sheet16.xml"/><Relationship Id="rId18" Type="http://schemas.openxmlformats.org/officeDocument/2006/relationships/worksheet" Target="worksheets/sheet17.xml"/><Relationship Id="rId19" Type="http://schemas.openxmlformats.org/officeDocument/2006/relationships/worksheet" Target="worksheets/sheet18.xml"/><Relationship Id="rId20" Type="http://schemas.openxmlformats.org/officeDocument/2006/relationships/worksheet" Target="worksheets/sheet19.xml"/><Relationship Id="rId21" Type="http://schemas.openxmlformats.org/officeDocument/2006/relationships/worksheet" Target="worksheets/sheet20.xml"/><Relationship Id="rId22" Type="http://schemas.openxmlformats.org/officeDocument/2006/relationships/worksheet" Target="worksheets/sheet21.xml"/><Relationship Id="rId23" Type="http://schemas.openxmlformats.org/officeDocument/2006/relationships/worksheet" Target="worksheets/sheet22.xml"/><Relationship Id="rId24" Type="http://schemas.openxmlformats.org/officeDocument/2006/relationships/worksheet" Target="worksheets/sheet23.xml"/><Relationship Id="rId25" Type="http://schemas.openxmlformats.org/officeDocument/2006/relationships/worksheet" Target="worksheets/sheet24.xml"/><Relationship Id="rId26" Type="http://schemas.openxmlformats.org/officeDocument/2006/relationships/worksheet" Target="worksheets/sheet25.xml"/><Relationship Id="rId27" Type="http://schemas.openxmlformats.org/officeDocument/2006/relationships/worksheet" Target="worksheets/sheet26.xml"/><Relationship Id="rId28" Type="http://schemas.openxmlformats.org/officeDocument/2006/relationships/worksheet" Target="worksheets/sheet27.xml"/><Relationship Id="rId29" Type="http://schemas.openxmlformats.org/officeDocument/2006/relationships/worksheet" Target="worksheets/sheet28.xml"/><Relationship Id="rId30" Type="http://schemas.openxmlformats.org/officeDocument/2006/relationships/worksheet" Target="worksheets/sheet29.xml"/><Relationship Id="rId31" Type="http://schemas.openxmlformats.org/officeDocument/2006/relationships/worksheet" Target="worksheets/sheet30.xml"/><Relationship Id="rId32" Type="http://schemas.openxmlformats.org/officeDocument/2006/relationships/worksheet" Target="worksheets/sheet31.xml"/><Relationship Id="rId33" Type="http://schemas.openxmlformats.org/officeDocument/2006/relationships/worksheet" Target="worksheets/sheet32.xml"/><Relationship Id="rId34" Type="http://schemas.openxmlformats.org/officeDocument/2006/relationships/worksheet" Target="worksheets/sheet33.xml"/><Relationship Id="rId35" Type="http://schemas.openxmlformats.org/officeDocument/2006/relationships/worksheet" Target="worksheets/sheet34.xml"/><Relationship Id="rId36" Type="http://schemas.openxmlformats.org/officeDocument/2006/relationships/worksheet" Target="worksheets/sheet35.xml"/><Relationship Id="rId37" Type="http://schemas.openxmlformats.org/officeDocument/2006/relationships/worksheet" Target="worksheets/sheet36.xml"/><Relationship Id="rId38" Type="http://schemas.openxmlformats.org/officeDocument/2006/relationships/worksheet" Target="worksheets/sheet37.xml"/><Relationship Id="rId39" Type="http://schemas.openxmlformats.org/officeDocument/2006/relationships/worksheet" Target="worksheets/sheet38.xml"/><Relationship Id="rId40" Type="http://schemas.openxmlformats.org/officeDocument/2006/relationships/worksheet" Target="worksheets/sheet39.xml"/><Relationship Id="rId41" Type="http://schemas.openxmlformats.org/officeDocument/2006/relationships/worksheet" Target="worksheets/sheet40.xml"/><Relationship Id="rId42" Type="http://schemas.openxmlformats.org/officeDocument/2006/relationships/worksheet" Target="worksheets/sheet41.xml"/><Relationship Id="rId43" Type="http://schemas.openxmlformats.org/officeDocument/2006/relationships/worksheet" Target="worksheets/sheet42.xml"/><Relationship Id="rId44" Type="http://schemas.openxmlformats.org/officeDocument/2006/relationships/worksheet" Target="worksheets/sheet43.xml"/><Relationship Id="rId45" Type="http://schemas.openxmlformats.org/officeDocument/2006/relationships/worksheet" Target="worksheets/sheet44.xml"/><Relationship Id="rId46" Type="http://schemas.openxmlformats.org/officeDocument/2006/relationships/worksheet" Target="worksheets/sheet45.xml"/><Relationship Id="rId47" Type="http://schemas.openxmlformats.org/officeDocument/2006/relationships/worksheet" Target="worksheets/sheet46.xml"/><Relationship Id="rId48" Type="http://schemas.openxmlformats.org/officeDocument/2006/relationships/worksheet" Target="worksheets/sheet47.xml"/><Relationship Id="rId49" Type="http://schemas.openxmlformats.org/officeDocument/2006/relationships/worksheet" Target="worksheets/sheet48.xml"/><Relationship Id="rId50" Type="http://schemas.openxmlformats.org/officeDocument/2006/relationships/worksheet" Target="worksheets/sheet49.xml"/><Relationship Id="rId51" Type="http://schemas.openxmlformats.org/officeDocument/2006/relationships/worksheet" Target="worksheets/sheet50.xml"/><Relationship Id="rId52" Type="http://schemas.openxmlformats.org/officeDocument/2006/relationships/worksheet" Target="worksheets/sheet51.xml"/><Relationship Id="rId53" Type="http://schemas.openxmlformats.org/officeDocument/2006/relationships/worksheet" Target="worksheets/sheet52.xml"/><Relationship Id="rId54" Type="http://schemas.openxmlformats.org/officeDocument/2006/relationships/worksheet" Target="worksheets/sheet53.xml"/><Relationship Id="rId55" Type="http://schemas.openxmlformats.org/officeDocument/2006/relationships/worksheet" Target="worksheets/sheet54.xml"/><Relationship Id="rId56" Type="http://schemas.openxmlformats.org/officeDocument/2006/relationships/worksheet" Target="worksheets/sheet55.xml"/><Relationship Id="rId57" Type="http://schemas.openxmlformats.org/officeDocument/2006/relationships/worksheet" Target="worksheets/sheet56.xml"/><Relationship Id="rId58" Type="http://schemas.openxmlformats.org/officeDocument/2006/relationships/worksheet" Target="worksheets/sheet57.xml"/><Relationship Id="rId59" Type="http://schemas.openxmlformats.org/officeDocument/2006/relationships/worksheet" Target="worksheets/sheet58.xml"/><Relationship Id="rId60" Type="http://schemas.openxmlformats.org/officeDocument/2006/relationships/worksheet" Target="worksheets/sheet59.xml"/><Relationship Id="rId61" Type="http://schemas.openxmlformats.org/officeDocument/2006/relationships/worksheet" Target="worksheets/sheet60.xml"/><Relationship Id="rId62" Type="http://schemas.openxmlformats.org/officeDocument/2006/relationships/worksheet" Target="worksheets/sheet61.xml"/><Relationship Id="rId63" Type="http://schemas.openxmlformats.org/officeDocument/2006/relationships/worksheet" Target="worksheets/sheet62.xml"/><Relationship Id="rId64" Type="http://schemas.openxmlformats.org/officeDocument/2006/relationships/worksheet" Target="worksheets/sheet63.xml"/><Relationship Id="rId65" Type="http://schemas.openxmlformats.org/officeDocument/2006/relationships/worksheet" Target="worksheets/sheet64.xml"/><Relationship Id="rId66" Type="http://schemas.openxmlformats.org/officeDocument/2006/relationships/worksheet" Target="worksheets/sheet65.xml"/><Relationship Id="rId67" Type="http://schemas.openxmlformats.org/officeDocument/2006/relationships/worksheet" Target="worksheets/sheet66.xml"/><Relationship Id="rId68" Type="http://schemas.openxmlformats.org/officeDocument/2006/relationships/worksheet" Target="worksheets/sheet67.xml"/><Relationship Id="rId69" Type="http://schemas.openxmlformats.org/officeDocument/2006/relationships/worksheet" Target="worksheets/sheet68.xml"/><Relationship Id="rId70" Type="http://schemas.openxmlformats.org/officeDocument/2006/relationships/worksheet" Target="worksheets/sheet69.xml"/><Relationship Id="rId71" Type="http://schemas.openxmlformats.org/officeDocument/2006/relationships/worksheet" Target="worksheets/sheet70.xml"/><Relationship Id="rId72" Type="http://schemas.openxmlformats.org/officeDocument/2006/relationships/worksheet" Target="worksheets/sheet71.xml"/><Relationship Id="rId73" Type="http://schemas.openxmlformats.org/officeDocument/2006/relationships/worksheet" Target="worksheets/sheet72.xml"/><Relationship Id="rId74" Type="http://schemas.openxmlformats.org/officeDocument/2006/relationships/worksheet" Target="worksheets/sheet73.xml"/><Relationship Id="rId75" Type="http://schemas.openxmlformats.org/officeDocument/2006/relationships/worksheet" Target="worksheets/sheet74.xml"/><Relationship Id="rId76" Type="http://schemas.openxmlformats.org/officeDocument/2006/relationships/worksheet" Target="worksheets/sheet75.xml"/><Relationship Id="rId77" Type="http://schemas.openxmlformats.org/officeDocument/2006/relationships/worksheet" Target="worksheets/sheet76.xml"/><Relationship Id="rId78" Type="http://schemas.openxmlformats.org/officeDocument/2006/relationships/worksheet" Target="worksheets/sheet77.xml"/><Relationship Id="rId79" Type="http://schemas.openxmlformats.org/officeDocument/2006/relationships/worksheet" Target="worksheets/sheet78.xml"/><Relationship Id="rId80" Type="http://schemas.openxmlformats.org/officeDocument/2006/relationships/worksheet" Target="worksheets/sheet79.xml"/><Relationship Id="rId81" Type="http://schemas.openxmlformats.org/officeDocument/2006/relationships/worksheet" Target="worksheets/sheet80.xml"/><Relationship Id="rId82" Type="http://schemas.openxmlformats.org/officeDocument/2006/relationships/worksheet" Target="worksheets/sheet81.xml"/><Relationship Id="rId83" Type="http://schemas.openxmlformats.org/officeDocument/2006/relationships/worksheet" Target="worksheets/sheet82.xml"/><Relationship Id="rId84" Type="http://schemas.openxmlformats.org/officeDocument/2006/relationships/worksheet" Target="worksheets/sheet83.xml"/><Relationship Id="rId85" Type="http://schemas.openxmlformats.org/officeDocument/2006/relationships/worksheet" Target="worksheets/sheet84.xml"/><Relationship Id="rId86" Type="http://schemas.openxmlformats.org/officeDocument/2006/relationships/worksheet" Target="worksheets/sheet85.xml"/><Relationship Id="rId87" Type="http://schemas.openxmlformats.org/officeDocument/2006/relationships/worksheet" Target="worksheets/sheet86.xml"/><Relationship Id="rId88" Type="http://schemas.openxmlformats.org/officeDocument/2006/relationships/worksheet" Target="worksheets/sheet87.xml"/><Relationship Id="rId89" Type="http://schemas.openxmlformats.org/officeDocument/2006/relationships/worksheet" Target="worksheets/sheet88.xml"/><Relationship Id="rId90" Type="http://schemas.openxmlformats.org/officeDocument/2006/relationships/worksheet" Target="worksheets/sheet89.xml"/><Relationship Id="rId91" Type="http://schemas.openxmlformats.org/officeDocument/2006/relationships/sharedStrings" Target="sharedStrings.xml"/><Relationship Id="rId92"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 Id="rId2" Type="http://schemas.openxmlformats.org/officeDocument/2006/relationships/image" Target="../media/image2.jpeg"/><Relationship Id="rId3" Type="http://schemas.openxmlformats.org/officeDocument/2006/relationships/image" Target="../media/image3.png"/><Relationship Id="rId4" Type="http://schemas.openxmlformats.org/officeDocument/2006/relationships/image" Target="../media/image4.png"/><Relationship Id="rId5" Type="http://schemas.openxmlformats.org/officeDocument/2006/relationships/image" Target="../media/image5.jpeg"/></Relationships>
</file>

<file path=xl/drawings/_rels/drawing2.xml.rels><?xml version="1.0" encoding="UTF-8" standalone="yes"?>
<Relationships xmlns="http://schemas.openxmlformats.org/package/2006/relationships"><Relationship Id="rId1" Type="http://schemas.openxmlformats.org/officeDocument/2006/relationships/image" Target="../media/image6.png"/><Relationship Id="rId2" Type="http://schemas.openxmlformats.org/officeDocument/2006/relationships/image" Target="../media/image7.png"/></Relationships>
</file>

<file path=xl/drawings/_rels/drawing3.xml.rels><?xml version="1.0" encoding="UTF-8" standalone="yes"?>
<Relationships xmlns="http://schemas.openxmlformats.org/package/2006/relationships"><Relationship Id="rId1" Type="http://schemas.openxmlformats.org/officeDocument/2006/relationships/image" Target="../media/image8.png"/></Relationships>
</file>

<file path=xl/drawings/_rels/drawing4.xml.rels><?xml version="1.0" encoding="UTF-8" standalone="yes"?>
<Relationships xmlns="http://schemas.openxmlformats.org/package/2006/relationships"><Relationship Id="rId1" Type="http://schemas.openxmlformats.org/officeDocument/2006/relationships/image" Target="../media/image9.png"/></Relationships>
</file>

<file path=xl/drawings/_rels/drawing5.xml.rels><?xml version="1.0" encoding="UTF-8" standalone="yes"?>
<Relationships xmlns="http://schemas.openxmlformats.org/package/2006/relationships"><Relationship Id="rId1" Type="http://schemas.openxmlformats.org/officeDocument/2006/relationships/image" Target="../media/image10.png"/></Relationships>
</file>

<file path=xl/drawings/_rels/drawing6.xml.rels><?xml version="1.0" encoding="UTF-8" standalone="yes"?>
<Relationships xmlns="http://schemas.openxmlformats.org/package/2006/relationships"><Relationship Id="rId1" Type="http://schemas.openxmlformats.org/officeDocument/2006/relationships/image" Target="../media/image11.png"/></Relationships>
</file>

<file path=xl/drawings/_rels/drawing7.xml.rels><?xml version="1.0" encoding="UTF-8" standalone="yes"?>
<Relationships xmlns="http://schemas.openxmlformats.org/package/2006/relationships"><Relationship Id="rId1" Type="http://schemas.openxmlformats.org/officeDocument/2006/relationships/image" Target="../media/image12.png"/></Relationships>
</file>

<file path=xl/drawings/_rels/drawing8.xml.rels><?xml version="1.0" encoding="UTF-8" standalone="yes"?>
<Relationships xmlns="http://schemas.openxmlformats.org/package/2006/relationships"><Relationship Id="rId1" Type="http://schemas.openxmlformats.org/officeDocument/2006/relationships/image" Target="../media/image13.png"/></Relationships>
</file>

<file path=xl/drawings/drawing1.xml><?xml version="1.0" encoding="utf-8"?>
<xdr:wsDr xmlns:xdr="http://schemas.openxmlformats.org/drawingml/2006/spreadsheetDrawing" xmlns:a="http://schemas.openxmlformats.org/drawingml/2006/main">
  <xdr:twoCellAnchor editAs="oneCell">
    <xdr:from>
      <xdr:col>3</xdr:col>
      <xdr:colOff>57150</xdr:colOff>
      <xdr:row>8</xdr:row>
      <xdr:rowOff>0</xdr:rowOff>
    </xdr:from>
    <xdr:to>
      <xdr:col>4</xdr:col>
      <xdr:colOff>314516</xdr:colOff>
      <xdr:row>11</xdr:row>
      <xdr:rowOff>57341</xdr:rowOff>
    </xdr:to>
    <xdr:pic>
      <xdr:nvPicPr>
        <xdr:cNvPr id="1" name="PHONE_PIC" descr="update_org.png" hidden="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twoCellAnchor editAs="oneCell">
    <xdr:from>
      <xdr:col>3</xdr:col>
      <xdr:colOff>57150</xdr:colOff>
      <xdr:row>16</xdr:row>
      <xdr:rowOff>0</xdr:rowOff>
    </xdr:from>
    <xdr:to>
      <xdr:col>4</xdr:col>
      <xdr:colOff>314516</xdr:colOff>
      <xdr:row>19</xdr:row>
      <xdr:rowOff>76391</xdr:rowOff>
    </xdr:to>
    <xdr:pic>
      <xdr:nvPicPr>
        <xdr:cNvPr id="2" name="PHONE_PIC_1" descr="update_org.png" hidden="1"/>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twoCellAnchor editAs="oneCell">
    <xdr:from>
      <xdr:col>7</xdr:col>
      <xdr:colOff>0</xdr:colOff>
      <xdr:row>4</xdr:row>
      <xdr:rowOff>0</xdr:rowOff>
    </xdr:from>
    <xdr:to>
      <xdr:col>8</xdr:col>
      <xdr:colOff>207645</xdr:colOff>
      <xdr:row>4</xdr:row>
      <xdr:rowOff>207645</xdr:rowOff>
    </xdr:to>
    <xdr:pic>
      <xdr:nvPicPr>
        <xdr:cNvPr id="3" name="cmdCreatePrintedForm" descr="Создание печатной формы" hidden="1"/>
        <xdr:cNvPicPr>
          <a:picLocks noChangeAspect="1"/>
        </xdr:cNvPicPr>
      </xdr:nvPicPr>
      <xdr:blipFill>
        <a:blip xmlns:r="http://schemas.openxmlformats.org/officeDocument/2006/relationships" r:embed="rId3"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twoCellAnchor editAs="oneCell">
    <xdr:from>
      <xdr:col>4</xdr:col>
      <xdr:colOff>0</xdr:colOff>
      <xdr:row>30</xdr:row>
      <xdr:rowOff>0</xdr:rowOff>
    </xdr:from>
    <xdr:to>
      <xdr:col>4</xdr:col>
      <xdr:colOff>288036</xdr:colOff>
      <xdr:row>32</xdr:row>
      <xdr:rowOff>54102</xdr:rowOff>
    </xdr:to>
    <xdr:pic>
      <xdr:nvPicPr>
        <xdr:cNvPr id="4" name="UPDATE_PLAN1X_DATA" descr="update_org.png" hidden="1"/>
        <xdr:cNvPicPr>
          <a:picLocks noChangeAspect="1"/>
        </xdr:cNvPicPr>
      </xdr:nvPicPr>
      <xdr:blipFill>
        <a:blip xmlns:r="http://schemas.openxmlformats.org/officeDocument/2006/relationships" r:embed="rId4"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twoCellAnchor editAs="oneCell">
    <xdr:from>
      <xdr:col>3</xdr:col>
      <xdr:colOff>57150</xdr:colOff>
      <xdr:row>65</xdr:row>
      <xdr:rowOff>76200</xdr:rowOff>
    </xdr:from>
    <xdr:to>
      <xdr:col>4</xdr:col>
      <xdr:colOff>321850</xdr:colOff>
      <xdr:row>65</xdr:row>
      <xdr:rowOff>400241</xdr:rowOff>
    </xdr:to>
    <xdr:pic>
      <xdr:nvPicPr>
        <xdr:cNvPr id="5" name="PHONE_PIC_2" descr="update_org.png" hidden="1"/>
        <xdr:cNvPicPr>
          <a:picLocks noChangeAspect="1"/>
        </xdr:cNvPicPr>
      </xdr:nvPicPr>
      <xdr:blipFill>
        <a:blip xmlns:r="http://schemas.openxmlformats.org/officeDocument/2006/relationships" r:embed="rId5"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6</xdr:col>
      <xdr:colOff>0</xdr:colOff>
      <xdr:row>8</xdr:row>
      <xdr:rowOff>0</xdr:rowOff>
    </xdr:from>
    <xdr:to>
      <xdr:col>6</xdr:col>
      <xdr:colOff>207645</xdr:colOff>
      <xdr:row>8</xdr:row>
      <xdr:rowOff>207645</xdr:rowOff>
    </xdr:to>
    <xdr:pic>
      <xdr:nvPicPr>
        <xdr:cNvPr id="1" name="ExcludeHelp_2" descr="Справка по листу" hidden="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twoCellAnchor>
    <xdr:from>
      <xdr:col>4</xdr:col>
      <xdr:colOff>114300</xdr:colOff>
      <xdr:row>5</xdr:row>
      <xdr:rowOff>0</xdr:rowOff>
    </xdr:from>
    <xdr:to>
      <xdr:col>6</xdr:col>
      <xdr:colOff>18764</xdr:colOff>
      <xdr:row>6</xdr:row>
      <xdr:rowOff>0</xdr:rowOff>
    </xdr:to>
    <xdr:pic>
      <xdr:nvPicPr>
        <xdr:cNvPr id="2" name="Рисунок 1" hidden="1"/>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wsDr>
</file>

<file path=xl/drawings/drawing3.xml><?xml version="1.0" encoding="utf-8"?>
<xdr:wsDr xmlns:xdr="http://schemas.openxmlformats.org/drawingml/2006/spreadsheetDrawing" xmlns:a="http://schemas.openxmlformats.org/drawingml/2006/main">
  <xdr:twoCellAnchor>
    <xdr:from>
      <xdr:col>3</xdr:col>
      <xdr:colOff>73533</xdr:colOff>
      <xdr:row>6</xdr:row>
      <xdr:rowOff>0</xdr:rowOff>
    </xdr:from>
    <xdr:to>
      <xdr:col>4</xdr:col>
      <xdr:colOff>155734</xdr:colOff>
      <xdr:row>6</xdr:row>
      <xdr:rowOff>0</xdr:rowOff>
    </xdr:to>
    <xdr:pic>
      <xdr:nvPicPr>
        <xdr:cNvPr id="1" name="Рисунок 8" hidden="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wsDr>
</file>

<file path=xl/drawings/drawing4.xml><?xml version="1.0" encoding="utf-8"?>
<xdr:wsDr xmlns:xdr="http://schemas.openxmlformats.org/drawingml/2006/spreadsheetDrawing" xmlns:a="http://schemas.openxmlformats.org/drawingml/2006/main">
  <xdr:twoCellAnchor>
    <xdr:from>
      <xdr:col>4</xdr:col>
      <xdr:colOff>0</xdr:colOff>
      <xdr:row>8</xdr:row>
      <xdr:rowOff>0</xdr:rowOff>
    </xdr:from>
    <xdr:to>
      <xdr:col>5</xdr:col>
      <xdr:colOff>0</xdr:colOff>
      <xdr:row>9</xdr:row>
      <xdr:rowOff>30480</xdr:rowOff>
    </xdr:to>
    <xdr:pic>
      <xdr:nvPicPr>
        <xdr:cNvPr id="1" name="UNFREEZE_PANES_I11" descr="update_org.png" hidden="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wsDr>
</file>

<file path=xl/drawings/drawing5.xml><?xml version="1.0" encoding="utf-8"?>
<xdr:wsDr xmlns:xdr="http://schemas.openxmlformats.org/drawingml/2006/spreadsheetDrawing" xmlns:a="http://schemas.openxmlformats.org/drawingml/2006/main">
  <xdr:twoCellAnchor>
    <xdr:from>
      <xdr:col>4</xdr:col>
      <xdr:colOff>0</xdr:colOff>
      <xdr:row>4</xdr:row>
      <xdr:rowOff>0</xdr:rowOff>
    </xdr:from>
    <xdr:to>
      <xdr:col>8</xdr:col>
      <xdr:colOff>0</xdr:colOff>
      <xdr:row>5</xdr:row>
      <xdr:rowOff>0</xdr:rowOff>
    </xdr:to>
    <xdr:pic>
      <xdr:nvPicPr>
        <xdr:cNvPr id="1" name="UNFREEZE_PANES" descr="update_org.png" hidden="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wsDr>
</file>

<file path=xl/drawings/drawing6.xml><?xml version="1.0" encoding="utf-8"?>
<xdr:wsDr xmlns:xdr="http://schemas.openxmlformats.org/drawingml/2006/spreadsheetDrawing" xmlns:a="http://schemas.openxmlformats.org/drawingml/2006/main">
  <xdr:twoCellAnchor>
    <xdr:from>
      <xdr:col>0</xdr:col>
      <xdr:colOff>0</xdr:colOff>
      <xdr:row>13</xdr:row>
      <xdr:rowOff>0</xdr:rowOff>
    </xdr:from>
    <xdr:to>
      <xdr:col>3</xdr:col>
      <xdr:colOff>0</xdr:colOff>
      <xdr:row>13</xdr:row>
      <xdr:rowOff>247650</xdr:rowOff>
    </xdr:to>
    <xdr:pic>
      <xdr:nvPicPr>
        <xdr:cNvPr id="1" name="UNFREEZE_PANES" descr="update_org.png" hidden="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wsDr>
</file>

<file path=xl/drawings/drawing7.xml><?xml version="1.0" encoding="utf-8"?>
<xdr:wsDr xmlns:xdr="http://schemas.openxmlformats.org/drawingml/2006/spreadsheetDrawing" xmlns:a="http://schemas.openxmlformats.org/drawingml/2006/main">
  <xdr:twoCellAnchor>
    <xdr:from>
      <xdr:col>0</xdr:col>
      <xdr:colOff>0</xdr:colOff>
      <xdr:row>13</xdr:row>
      <xdr:rowOff>0</xdr:rowOff>
    </xdr:from>
    <xdr:to>
      <xdr:col>4</xdr:col>
      <xdr:colOff>0</xdr:colOff>
      <xdr:row>13</xdr:row>
      <xdr:rowOff>171450</xdr:rowOff>
    </xdr:to>
    <xdr:pic>
      <xdr:nvPicPr>
        <xdr:cNvPr id="1" name="UNFREEZE_PANES" descr="update_org.png" hidden="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wsDr>
</file>

<file path=xl/drawings/drawing8.xml><?xml version="1.0" encoding="utf-8"?>
<xdr:wsDr xmlns:xdr="http://schemas.openxmlformats.org/drawingml/2006/spreadsheetDrawing" xmlns:a="http://schemas.openxmlformats.org/drawingml/2006/main">
  <xdr:twoCellAnchor>
    <xdr:from>
      <xdr:col>0</xdr:col>
      <xdr:colOff>0</xdr:colOff>
      <xdr:row>4</xdr:row>
      <xdr:rowOff>0</xdr:rowOff>
    </xdr:from>
    <xdr:to>
      <xdr:col>3</xdr:col>
      <xdr:colOff>0</xdr:colOff>
      <xdr:row>4</xdr:row>
      <xdr:rowOff>247650</xdr:rowOff>
    </xdr:to>
    <xdr:pic>
      <xdr:nvPicPr>
        <xdr:cNvPr id="1" name="UNFREEZE_PANES" descr="update_org.png" hidden="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wsDr>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Тема 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2.xml.rels><?xml version="1.0" encoding="UTF-8" standalone="yes"?>
<Relationships xmlns="http://schemas.openxmlformats.org/package/2006/relationships"><Relationship Id="rId1" Type="http://schemas.openxmlformats.org/officeDocument/2006/relationships/comments" Target="../comments1.xml"/><Relationship Id="rId2" Type="http://schemas.openxmlformats.org/officeDocument/2006/relationships/vmlDrawing" Target="../drawings/vmlDrawing1.vml"/><Relationship Id="rId3" Type="http://schemas.openxmlformats.org/officeDocument/2006/relationships/drawing" Target="../drawings/drawing1.xml"/><Relationship Id="rId4" Type="http://schemas.openxmlformats.org/officeDocument/2006/relationships/hyperlink" Target="mailto:kgk-kurgan@kgk-kurgan.ru" TargetMode="Externa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35.xml.rels><?xml version="1.0" encoding="UTF-8" standalone="yes"?>
<Relationships xmlns="http://schemas.openxmlformats.org/package/2006/relationships"><Relationship Id="rId1" Type="http://schemas.openxmlformats.org/officeDocument/2006/relationships/drawing" Target="../drawings/drawing4.xml"/></Relationships>
</file>

<file path=xl/worksheets/_rels/sheet36.xml.rels><?xml version="1.0" encoding="UTF-8" standalone="yes"?>
<Relationships xmlns="http://schemas.openxmlformats.org/package/2006/relationships"><Relationship Id="rId1" Type="http://schemas.openxmlformats.org/officeDocument/2006/relationships/drawing" Target="../drawings/drawing5.xml"/></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47.xml.rels><?xml version="1.0" encoding="UTF-8" standalone="yes"?>
<Relationships xmlns="http://schemas.openxmlformats.org/package/2006/relationships"><Relationship Id="rId1" Type="http://schemas.openxmlformats.org/officeDocument/2006/relationships/drawing" Target="../drawings/drawing6.xml"/></Relationships>
</file>

<file path=xl/worksheets/_rels/sheet48.xml.rels><?xml version="1.0" encoding="UTF-8" standalone="yes"?>
<Relationships xmlns="http://schemas.openxmlformats.org/package/2006/relationships"><Relationship Id="rId1" Type="http://schemas.openxmlformats.org/officeDocument/2006/relationships/drawing" Target="../drawings/drawing7.xml"/><Relationship Id="rId2" Type="http://schemas.openxmlformats.org/officeDocument/2006/relationships/hyperlink" Target="https://portal.eias.ru/Portal/DownloadPage.aspx?type=12&amp;guid=f007fb3b-866a-4f39-9298-cd9e4ea91e4a" TargetMode="External"/></Relationships>
</file>

<file path=xl/worksheets/_rels/sheet49.xml.rels><?xml version="1.0" encoding="UTF-8" standalone="yes"?>
<Relationships xmlns="http://schemas.openxmlformats.org/package/2006/relationships"><Relationship Id="rId1" Type="http://schemas.openxmlformats.org/officeDocument/2006/relationships/drawing" Target="../drawings/drawing8.xml"/><Relationship Id="rId2" Type="http://schemas.openxmlformats.org/officeDocument/2006/relationships/hyperlink" Target="https://portal.eias.ru/Portal/DownloadPage.aspx?type=12&amp;guid=110fdd4f-d261-48b6-b502-3a1878145ccf" TargetMode="External"/><Relationship Id="rId3" Type="http://schemas.openxmlformats.org/officeDocument/2006/relationships/hyperlink" Target="https://portal.eias.ru/Portal/DownloadPage.aspx?type=12&amp;guid=110fdd4f-d261-48b6-b502-3a1878145ccf" TargetMode="External"/><Relationship Id="rId4" Type="http://schemas.openxmlformats.org/officeDocument/2006/relationships/hyperlink" Target="https://portal.eias.ru/Portal/DownloadPage.aspx?type=12&amp;guid=110fdd4f-d261-48b6-b502-3a1878145ccf" TargetMode="External"/><Relationship Id="rId5" Type="http://schemas.openxmlformats.org/officeDocument/2006/relationships/hyperlink" Target="https://portal.eias.ru/Portal/DownloadPage.aspx?type=12&amp;guid=110fdd4f-d261-48b6-b502-3a1878145ccf" TargetMode="External"/></Relationships>
</file>

<file path=xl/worksheets/_rels/sheet51.xml.rels><?xml version="1.0" encoding="UTF-8" standalone="yes"?>
<Relationships xmlns="http://schemas.openxmlformats.org/package/2006/relationships"><Relationship Id="rId1" Type="http://schemas.openxmlformats.org/officeDocument/2006/relationships/comments" Target="../comments2.xml"/><Relationship Id="rId2" Type="http://schemas.openxmlformats.org/officeDocument/2006/relationships/vmlDrawing" Target="../drawings/vmlDrawing2.vml"/></Relationships>
</file>

<file path=xl/worksheets/_rels/sheet63.xml.rels><?xml version="1.0" encoding="UTF-8" standalone="yes"?>
<Relationships xmlns="http://schemas.openxmlformats.org/package/2006/relationships"><Relationship Id="rId1" Type="http://schemas.openxmlformats.org/officeDocument/2006/relationships/comments" Target="../comments3.xml"/><Relationship Id="rId2" Type="http://schemas.openxmlformats.org/officeDocument/2006/relationships/vmlDrawing" Target="../drawings/vmlDrawing3.v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B15DB944-959C-D6C8-8721-CE665D954089}" mc:Ignorable="x14ac xr xr2 xr3">
  <dimension ref="A1:AB21"/>
  <sheetViews>
    <sheetView topLeftCell="A1" showGridLines="0" showRowColHeaders="0" workbookViewId="0">
      <selection activeCell="A1" sqref="A1"/>
    </sheetView>
  </sheetViews>
  <sheetFormatPr defaultColWidth="11.00390625" customHeight="1" defaultRowHeight="12.75"/>
  <cols>
    <col min="1" max="1" style="2629" width="5.421875" customWidth="1"/>
    <col min="2" max="2" style="2629" width="9.140625" customWidth="1"/>
    <col min="3" max="3" style="2629" width="16.421875" customWidth="1"/>
    <col min="4" max="25" style="2629" width="6.28125" customWidth="1"/>
    <col min="26" max="28" style="2629" width="11.00390625"/>
  </cols>
  <sheetData>
    <row customHeight="1" ht="15.75">
      <c r="A1" s="1701"/>
      <c r="B1" s="1702"/>
      <c r="C1" s="1702"/>
      <c r="D1" s="1702"/>
      <c r="E1" s="1702"/>
      <c r="F1" s="1702"/>
      <c r="G1" s="1702"/>
      <c r="H1" s="1702"/>
      <c r="I1" s="1702"/>
      <c r="J1" s="1702"/>
      <c r="K1" s="1702"/>
      <c r="L1" s="1702"/>
      <c r="M1" s="1702"/>
      <c r="N1" s="1702"/>
      <c r="O1" s="1702"/>
      <c r="P1" s="1702"/>
      <c r="Q1" s="1702"/>
      <c r="R1" s="1702"/>
      <c r="S1" s="1702"/>
      <c r="T1" s="1702"/>
      <c r="U1" s="1702"/>
      <c r="V1" s="1702"/>
      <c r="W1" s="1702"/>
      <c r="X1" s="1702"/>
      <c r="Y1" s="1703"/>
      <c r="Z1" s="1702"/>
      <c r="AA1" s="1704" t="s">
        <v>0</v>
      </c>
      <c r="AB1" s="1702"/>
    </row>
    <row customHeight="1" ht="17.25">
      <c r="A2" s="1702"/>
      <c r="B2" s="2078" t="s">
        <v>1</v>
      </c>
      <c r="C2" s="2078"/>
      <c r="D2" s="2078"/>
      <c r="E2" s="2078"/>
      <c r="F2" s="2078"/>
      <c r="G2" s="2078"/>
      <c r="H2" s="2078"/>
      <c r="I2" s="2078"/>
      <c r="J2" s="2078"/>
      <c r="K2" s="2078"/>
      <c r="L2" s="2078"/>
      <c r="M2" s="2078"/>
      <c r="N2" s="2078"/>
      <c r="O2" s="2078"/>
      <c r="P2" s="2078"/>
      <c r="Q2" s="1706"/>
      <c r="R2" s="1706"/>
      <c r="S2" s="1706"/>
      <c r="T2" s="1706"/>
      <c r="U2" s="1706"/>
      <c r="V2" s="1707"/>
      <c r="W2" s="1706"/>
      <c r="X2" s="1706"/>
      <c r="Y2" s="1703"/>
      <c r="Z2" s="1702"/>
      <c r="AA2" s="1704"/>
      <c r="AB2" s="1702"/>
    </row>
    <row customHeight="1" ht="15.75">
      <c r="A3" s="1702"/>
      <c r="B3" s="2079" t="s">
        <v>2</v>
      </c>
      <c r="C3" s="2079"/>
      <c r="D3" s="2079"/>
      <c r="E3" s="2079"/>
      <c r="F3" s="2079"/>
      <c r="G3" s="2079"/>
      <c r="H3" s="2079"/>
      <c r="I3" s="2079"/>
      <c r="J3" s="2079"/>
      <c r="K3" s="2079"/>
      <c r="L3" s="2079"/>
      <c r="M3" s="2079"/>
      <c r="N3" s="2079"/>
      <c r="O3" s="2079"/>
      <c r="P3" s="2079"/>
      <c r="Q3" s="1707"/>
      <c r="R3" s="1707"/>
      <c r="S3" s="1706"/>
      <c r="T3" s="1706"/>
      <c r="U3" s="1706"/>
      <c r="V3" s="1707"/>
      <c r="W3" s="1707"/>
      <c r="X3" s="1707"/>
      <c r="Y3" s="1707"/>
      <c r="Z3" s="1702"/>
      <c r="AA3" s="1704"/>
      <c r="AB3" s="1702"/>
    </row>
    <row customHeight="1" ht="17.25">
      <c r="A4" s="1702"/>
      <c r="B4" s="1708"/>
      <c r="C4" s="1702"/>
      <c r="D4" s="1707"/>
      <c r="E4" s="1707"/>
      <c r="F4" s="1707"/>
      <c r="G4" s="1707"/>
      <c r="H4" s="1707"/>
      <c r="I4" s="1707"/>
      <c r="J4" s="1707"/>
      <c r="K4" s="1707"/>
      <c r="L4" s="1707"/>
      <c r="M4" s="1707"/>
      <c r="N4" s="1707"/>
      <c r="O4" s="1707"/>
      <c r="P4" s="1707"/>
      <c r="Q4" s="1707"/>
      <c r="R4" s="1707"/>
      <c r="S4" s="1707"/>
      <c r="T4" s="1707"/>
      <c r="U4" s="1707"/>
      <c r="V4" s="1707"/>
      <c r="W4" s="1707"/>
      <c r="X4" s="1707"/>
      <c r="Y4" s="1707"/>
      <c r="Z4" s="1702"/>
      <c r="AA4" s="1704"/>
      <c r="AB4" s="1702"/>
    </row>
    <row customHeight="1" ht="22.5">
      <c r="A5" s="1709"/>
      <c r="B5" s="2080" t="str">
        <f>IF(TEMPLATE_SPHERE="","Информация, подлежащая раскрытию регулируемыми организациями",Титульный!E5)</f>
        <v>Предложение регулируемой организации об установлении тарифов в сфере теплоснабжения, информация о способах приобретения, стоимости и объемах товаров, необходимых для производства регулируемых товаров и (или) оказания регулируемых услуг</v>
      </c>
      <c r="C5" s="2081"/>
      <c r="D5" s="2081"/>
      <c r="E5" s="2081"/>
      <c r="F5" s="2081"/>
      <c r="G5" s="2081"/>
      <c r="H5" s="2081"/>
      <c r="I5" s="2081"/>
      <c r="J5" s="2081"/>
      <c r="K5" s="2081"/>
      <c r="L5" s="2081"/>
      <c r="M5" s="2081"/>
      <c r="N5" s="2081"/>
      <c r="O5" s="2081"/>
      <c r="P5" s="2081"/>
      <c r="Q5" s="2081"/>
      <c r="R5" s="2081"/>
      <c r="S5" s="2081"/>
      <c r="T5" s="2081"/>
      <c r="U5" s="2081"/>
      <c r="V5" s="2081"/>
      <c r="W5" s="2081"/>
      <c r="X5" s="2081"/>
      <c r="Y5" s="2082"/>
      <c r="Z5" s="1709"/>
      <c r="AA5" s="1704"/>
      <c r="AB5" s="1709"/>
    </row>
    <row customHeight="1" ht="15">
      <c r="A6" s="1710"/>
      <c r="B6" s="2083" t="s">
        <v>3</v>
      </c>
      <c r="C6" s="2084"/>
      <c r="D6" s="1711"/>
      <c r="E6" s="1711"/>
      <c r="F6" s="1711"/>
      <c r="G6" s="1711"/>
      <c r="H6" s="1711"/>
      <c r="I6" s="1711"/>
      <c r="J6" s="1711"/>
      <c r="K6" s="1711"/>
      <c r="L6" s="1711"/>
      <c r="M6" s="1711"/>
      <c r="N6" s="1711"/>
      <c r="O6" s="1711"/>
      <c r="P6" s="1711"/>
      <c r="Q6" s="1711"/>
      <c r="R6" s="1711"/>
      <c r="S6" s="1711"/>
      <c r="T6" s="1711"/>
      <c r="U6" s="1711"/>
      <c r="V6" s="1711"/>
      <c r="W6" s="1711"/>
      <c r="X6" s="1711"/>
      <c r="Y6" s="1712"/>
      <c r="Z6" s="1713"/>
      <c r="AA6" s="1714"/>
      <c r="AB6" s="1714"/>
    </row>
    <row customHeight="1" ht="15">
      <c r="A7" s="1710"/>
      <c r="B7" s="2083"/>
      <c r="C7" s="2084"/>
      <c r="D7" s="1711"/>
      <c r="E7" s="1711"/>
      <c r="F7" s="1715"/>
      <c r="G7" s="1715"/>
      <c r="H7" s="1715"/>
      <c r="I7" s="1715"/>
      <c r="J7" s="1715"/>
      <c r="K7" s="1715"/>
      <c r="L7" s="1715"/>
      <c r="M7" s="1715"/>
      <c r="N7" s="1715"/>
      <c r="O7" s="1711"/>
      <c r="P7" s="1715"/>
      <c r="Q7" s="1715"/>
      <c r="R7" s="1715"/>
      <c r="S7" s="1715"/>
      <c r="T7" s="1715"/>
      <c r="U7" s="1715"/>
      <c r="V7" s="1715"/>
      <c r="W7" s="1715"/>
      <c r="X7" s="1715"/>
      <c r="Y7" s="1712"/>
      <c r="Z7" s="1713"/>
      <c r="AA7" s="1714"/>
      <c r="AB7" s="1714"/>
    </row>
    <row customHeight="1" ht="15">
      <c r="A8" s="1710"/>
      <c r="B8" s="2083"/>
      <c r="C8" s="2084"/>
      <c r="D8" s="1716"/>
      <c r="E8" s="1717" t="s">
        <v>4</v>
      </c>
      <c r="F8" s="2086" t="s">
        <v>5</v>
      </c>
      <c r="G8" s="2087"/>
      <c r="H8" s="2087"/>
      <c r="I8" s="2087"/>
      <c r="J8" s="2087"/>
      <c r="K8" s="2087"/>
      <c r="L8" s="2087"/>
      <c r="M8" s="2087"/>
      <c r="N8" s="1716"/>
      <c r="O8" s="1718" t="s">
        <v>4</v>
      </c>
      <c r="P8" s="2088" t="s">
        <v>6</v>
      </c>
      <c r="Q8" s="2089"/>
      <c r="R8" s="2089"/>
      <c r="S8" s="2089"/>
      <c r="T8" s="2089"/>
      <c r="U8" s="2089"/>
      <c r="V8" s="2089"/>
      <c r="W8" s="2089"/>
      <c r="X8" s="2089"/>
      <c r="Y8" s="1712"/>
      <c r="Z8" s="1713"/>
      <c r="AA8" s="1714"/>
      <c r="AB8" s="1714"/>
    </row>
    <row customHeight="1" ht="15">
      <c r="A9" s="1710"/>
      <c r="B9" s="2083"/>
      <c r="C9" s="2084"/>
      <c r="D9" s="1716"/>
      <c r="E9" s="1719" t="s">
        <v>4</v>
      </c>
      <c r="F9" s="2086" t="s">
        <v>7</v>
      </c>
      <c r="G9" s="2087"/>
      <c r="H9" s="2087"/>
      <c r="I9" s="2087"/>
      <c r="J9" s="2087"/>
      <c r="K9" s="2087"/>
      <c r="L9" s="2087"/>
      <c r="M9" s="2087"/>
      <c r="N9" s="1716"/>
      <c r="O9" s="1720" t="s">
        <v>4</v>
      </c>
      <c r="P9" s="2088" t="s">
        <v>8</v>
      </c>
      <c r="Q9" s="2089"/>
      <c r="R9" s="2089"/>
      <c r="S9" s="2089"/>
      <c r="T9" s="2089"/>
      <c r="U9" s="2089"/>
      <c r="V9" s="2089"/>
      <c r="W9" s="2089"/>
      <c r="X9" s="2089"/>
      <c r="Y9" s="1712"/>
      <c r="Z9" s="1713"/>
      <c r="AA9" s="1714"/>
      <c r="AB9" s="1714"/>
    </row>
    <row customHeight="1" ht="30">
      <c r="A10" s="1710"/>
      <c r="B10" s="2083"/>
      <c r="C10" s="2085"/>
      <c r="D10" s="1721"/>
      <c r="E10" s="1722"/>
      <c r="F10" s="1715"/>
      <c r="G10" s="1715"/>
      <c r="H10" s="1715"/>
      <c r="I10" s="1715"/>
      <c r="J10" s="1715"/>
      <c r="K10" s="1715"/>
      <c r="L10" s="1715"/>
      <c r="M10" s="1715"/>
      <c r="N10" s="1715"/>
      <c r="O10" s="1722"/>
      <c r="P10" s="1715"/>
      <c r="Q10" s="1715"/>
      <c r="R10" s="1715"/>
      <c r="S10" s="1715"/>
      <c r="T10" s="1715"/>
      <c r="U10" s="1715"/>
      <c r="V10" s="1715"/>
      <c r="W10" s="1715"/>
      <c r="X10" s="1715"/>
      <c r="Y10" s="1712"/>
      <c r="Z10" s="1713"/>
      <c r="AA10" s="1714"/>
      <c r="AB10" s="1714"/>
    </row>
    <row customHeight="1" ht="19.5">
      <c r="A11" s="1710"/>
      <c r="B11" s="2090" t="s">
        <v>9</v>
      </c>
      <c r="C11" s="2091"/>
      <c r="D11" s="1716"/>
      <c r="E11" s="1723"/>
      <c r="F11" s="1723"/>
      <c r="G11" s="1723"/>
      <c r="H11" s="1723"/>
      <c r="I11" s="1723"/>
      <c r="J11" s="1723"/>
      <c r="K11" s="1723"/>
      <c r="L11" s="1723"/>
      <c r="M11" s="1723"/>
      <c r="N11" s="1723"/>
      <c r="O11" s="1723"/>
      <c r="P11" s="1723"/>
      <c r="Q11" s="1723"/>
      <c r="R11" s="1723"/>
      <c r="S11" s="1723"/>
      <c r="T11" s="1723"/>
      <c r="U11" s="1723"/>
      <c r="V11" s="1723"/>
      <c r="W11" s="1723"/>
      <c r="X11" s="1723"/>
      <c r="Y11" s="1712"/>
      <c r="Z11" s="1713"/>
      <c r="AA11" s="1714"/>
      <c r="AB11" s="1714"/>
    </row>
    <row customHeight="1" ht="69">
      <c r="A12" s="1710"/>
      <c r="B12" s="2083"/>
      <c r="C12" s="2085"/>
      <c r="D12" s="1724"/>
      <c r="E12" s="2087" t="s">
        <v>10</v>
      </c>
      <c r="F12" s="2087"/>
      <c r="G12" s="2087"/>
      <c r="H12" s="2087"/>
      <c r="I12" s="2087"/>
      <c r="J12" s="2087"/>
      <c r="K12" s="2087"/>
      <c r="L12" s="2087"/>
      <c r="M12" s="2087"/>
      <c r="N12" s="2087"/>
      <c r="O12" s="2087"/>
      <c r="P12" s="2087"/>
      <c r="Q12" s="2087"/>
      <c r="R12" s="2087"/>
      <c r="S12" s="2087"/>
      <c r="T12" s="2087"/>
      <c r="U12" s="2087"/>
      <c r="V12" s="2087"/>
      <c r="W12" s="2087"/>
      <c r="X12" s="2087"/>
      <c r="Y12" s="1712"/>
      <c r="Z12" s="1713"/>
      <c r="AA12" s="1714"/>
      <c r="AB12" s="1714"/>
    </row>
    <row customHeight="1" ht="15">
      <c r="A13" s="1710"/>
      <c r="B13" s="2090" t="s">
        <v>11</v>
      </c>
      <c r="C13" s="2091"/>
      <c r="D13" s="1711"/>
      <c r="E13" s="1723"/>
      <c r="F13" s="1723"/>
      <c r="G13" s="1723"/>
      <c r="H13" s="1723"/>
      <c r="I13" s="1723"/>
      <c r="J13" s="1723"/>
      <c r="K13" s="1723"/>
      <c r="L13" s="1723"/>
      <c r="M13" s="1723"/>
      <c r="N13" s="1723"/>
      <c r="O13" s="1723"/>
      <c r="P13" s="1723"/>
      <c r="Q13" s="1723"/>
      <c r="R13" s="1723"/>
      <c r="S13" s="1723"/>
      <c r="T13" s="1723"/>
      <c r="U13" s="1723"/>
      <c r="V13" s="1723"/>
      <c r="W13" s="1723"/>
      <c r="X13" s="1723"/>
      <c r="Y13" s="1712"/>
      <c r="Z13" s="1713"/>
      <c r="AA13" s="1714"/>
      <c r="AB13" s="1714"/>
    </row>
    <row customHeight="1" ht="57">
      <c r="A14" s="1710"/>
      <c r="B14" s="2083"/>
      <c r="C14" s="2084"/>
      <c r="D14" s="1716"/>
      <c r="E14" s="2094" t="s">
        <v>12</v>
      </c>
      <c r="F14" s="2094"/>
      <c r="G14" s="2094"/>
      <c r="H14" s="2094"/>
      <c r="I14" s="2094"/>
      <c r="J14" s="2094"/>
      <c r="K14" s="2094"/>
      <c r="L14" s="2094"/>
      <c r="M14" s="2094"/>
      <c r="N14" s="2094"/>
      <c r="O14" s="2094"/>
      <c r="P14" s="2094"/>
      <c r="Q14" s="2094"/>
      <c r="R14" s="2094"/>
      <c r="S14" s="2094"/>
      <c r="T14" s="2094"/>
      <c r="U14" s="2094"/>
      <c r="V14" s="2094"/>
      <c r="W14" s="2094"/>
      <c r="X14" s="2094"/>
      <c r="Y14" s="1712"/>
      <c r="Z14" s="1713"/>
      <c r="AA14" s="1714"/>
      <c r="AB14" s="1714"/>
    </row>
    <row customHeight="1" ht="16.5">
      <c r="A15" s="1710"/>
      <c r="B15" s="2092"/>
      <c r="C15" s="2093"/>
      <c r="D15" s="1725"/>
      <c r="E15" s="1726"/>
      <c r="F15" s="1726"/>
      <c r="G15" s="1726"/>
      <c r="H15" s="1726"/>
      <c r="I15" s="1726"/>
      <c r="J15" s="1726"/>
      <c r="K15" s="1726"/>
      <c r="L15" s="1726"/>
      <c r="M15" s="1726"/>
      <c r="N15" s="1726"/>
      <c r="O15" s="1726"/>
      <c r="P15" s="1726"/>
      <c r="Q15" s="1726"/>
      <c r="R15" s="1726"/>
      <c r="S15" s="1726"/>
      <c r="T15" s="1726"/>
      <c r="U15" s="1726"/>
      <c r="V15" s="1726"/>
      <c r="W15" s="1726"/>
      <c r="X15" s="1726"/>
      <c r="Y15" s="1727"/>
      <c r="Z15" s="1713"/>
      <c r="AA15" s="1728"/>
      <c r="AB15" s="1714"/>
    </row>
    <row customHeight="1" ht="95.25">
      <c r="A16" s="1702"/>
      <c r="B16" s="2094"/>
      <c r="C16" s="2095"/>
      <c r="D16" s="2095"/>
      <c r="E16" s="2095"/>
      <c r="F16" s="2095"/>
      <c r="G16" s="2095"/>
      <c r="H16" s="2095"/>
      <c r="I16" s="2095"/>
      <c r="J16" s="2095"/>
      <c r="K16" s="2095"/>
      <c r="L16" s="2095"/>
      <c r="M16" s="2095"/>
      <c r="N16" s="2095"/>
      <c r="O16" s="2095"/>
      <c r="P16" s="2095"/>
      <c r="Q16" s="2095"/>
      <c r="R16" s="2095"/>
      <c r="S16" s="2095"/>
      <c r="T16" s="2095"/>
      <c r="U16" s="2095"/>
      <c r="V16" s="2095"/>
      <c r="W16" s="2095"/>
      <c r="X16" s="2095"/>
      <c r="Y16" s="2095"/>
      <c r="Z16" s="1702"/>
      <c r="AA16" s="1704"/>
      <c r="AB16" s="1702"/>
    </row>
    <row customHeight="1" ht="14.25">
      <c r="A17" s="1702"/>
      <c r="B17" s="1702"/>
      <c r="C17" s="1702"/>
      <c r="D17" s="1702"/>
      <c r="E17" s="1702"/>
      <c r="F17" s="1702"/>
      <c r="G17" s="1702"/>
      <c r="H17" s="1702"/>
      <c r="I17" s="1702"/>
      <c r="J17" s="1702"/>
      <c r="K17" s="1702"/>
      <c r="L17" s="1702"/>
      <c r="M17" s="1702"/>
      <c r="N17" s="1702"/>
      <c r="O17" s="1702"/>
      <c r="P17" s="1702"/>
      <c r="Q17" s="1702"/>
      <c r="R17" s="1702"/>
      <c r="S17" s="1702"/>
      <c r="T17" s="1702"/>
      <c r="U17" s="1702"/>
      <c r="V17" s="1702"/>
      <c r="W17" s="1702"/>
      <c r="X17" s="1702"/>
      <c r="Y17" s="1703"/>
      <c r="Z17" s="1702"/>
      <c r="AA17" s="1704"/>
      <c r="AB17" s="1702"/>
    </row>
    <row customHeight="1" ht="14.25">
      <c r="A18" s="1702"/>
      <c r="B18" s="1702"/>
      <c r="C18" s="1702"/>
      <c r="D18" s="1702"/>
      <c r="E18" s="1702"/>
      <c r="F18" s="1702"/>
      <c r="G18" s="1702"/>
      <c r="H18" s="1702"/>
      <c r="I18" s="1702"/>
      <c r="J18" s="1702"/>
      <c r="K18" s="1702"/>
      <c r="L18" s="1702"/>
      <c r="M18" s="1702"/>
      <c r="N18" s="1702"/>
      <c r="O18" s="1702"/>
      <c r="P18" s="1702"/>
      <c r="Q18" s="1702"/>
      <c r="R18" s="1702"/>
      <c r="S18" s="1702"/>
      <c r="T18" s="1702"/>
      <c r="U18" s="1702"/>
      <c r="V18" s="1702"/>
      <c r="W18" s="1702"/>
      <c r="X18" s="1702"/>
      <c r="Y18" s="1703"/>
      <c r="Z18" s="1702"/>
      <c r="AA18" s="1704"/>
      <c r="AB18" s="1702"/>
    </row>
    <row customHeight="1" ht="14.25">
      <c r="A19" s="1702"/>
      <c r="B19" s="1702"/>
      <c r="C19" s="1702"/>
      <c r="D19" s="1702"/>
      <c r="E19" s="1702"/>
      <c r="F19" s="1702"/>
      <c r="G19" s="1702"/>
      <c r="H19" s="1702"/>
      <c r="I19" s="1702"/>
      <c r="J19" s="1702"/>
      <c r="K19" s="1702"/>
      <c r="L19" s="1702"/>
      <c r="M19" s="1702"/>
      <c r="N19" s="1702"/>
      <c r="O19" s="1702"/>
      <c r="P19" s="1702"/>
      <c r="Q19" s="1702"/>
      <c r="R19" s="1702"/>
      <c r="S19" s="1702"/>
      <c r="T19" s="1702"/>
      <c r="U19" s="1702"/>
      <c r="V19" s="1702"/>
      <c r="W19" s="1702"/>
      <c r="X19" s="1702"/>
      <c r="Y19" s="1703"/>
      <c r="Z19" s="1702"/>
      <c r="AA19" s="1704"/>
      <c r="AB19" s="1702"/>
    </row>
    <row customHeight="1" ht="14.25">
      <c r="A20" s="1702"/>
      <c r="B20" s="1702"/>
      <c r="C20" s="1702"/>
      <c r="D20" s="1702"/>
      <c r="E20" s="1702"/>
      <c r="F20" s="1702"/>
      <c r="G20" s="1702"/>
      <c r="H20" s="1702"/>
      <c r="I20" s="1702"/>
      <c r="J20" s="1702"/>
      <c r="K20" s="1702"/>
      <c r="L20" s="1702"/>
      <c r="M20" s="1702"/>
      <c r="N20" s="1702"/>
      <c r="O20" s="1702"/>
      <c r="P20" s="1702"/>
      <c r="Q20" s="1702"/>
      <c r="R20" s="1702"/>
      <c r="S20" s="1702"/>
      <c r="T20" s="1702"/>
      <c r="U20" s="1702"/>
      <c r="V20" s="1702"/>
      <c r="W20" s="1702"/>
      <c r="X20" s="1702"/>
      <c r="Y20" s="1703"/>
      <c r="Z20" s="1702"/>
      <c r="AA20" s="1704"/>
      <c r="AB20" s="1702"/>
    </row>
    <row customHeight="1" ht="14.25">
      <c r="A21" s="1702"/>
      <c r="B21" s="1702"/>
      <c r="C21" s="1702"/>
      <c r="D21" s="1702"/>
      <c r="E21" s="1702"/>
      <c r="F21" s="1702"/>
      <c r="G21" s="1702"/>
      <c r="H21" s="1702"/>
      <c r="I21" s="1702"/>
      <c r="J21" s="1702"/>
      <c r="K21" s="1702"/>
      <c r="L21" s="1702"/>
      <c r="M21" s="1702"/>
      <c r="N21" s="1702"/>
      <c r="O21" s="1702"/>
      <c r="P21" s="1702"/>
      <c r="Q21" s="1702"/>
      <c r="R21" s="1702"/>
      <c r="S21" s="1702"/>
      <c r="T21" s="1702"/>
      <c r="U21" s="1702"/>
      <c r="V21" s="1702"/>
      <c r="W21" s="1702"/>
      <c r="X21" s="1702"/>
      <c r="Y21" s="1703"/>
      <c r="Z21" s="1702"/>
      <c r="AA21" s="1704"/>
      <c r="AB21" s="1702"/>
    </row>
  </sheetData>
  <sheetProtection formatColumns="0" formatRows="0" sort="0" autoFilter="0" insertRows="0" insertColumns="1" deleteRows="0" deleteColumns="0"/>
  <mergeCells count="13">
    <mergeCell ref="B11:C12"/>
    <mergeCell ref="E12:X12"/>
    <mergeCell ref="B13:C15"/>
    <mergeCell ref="E14:X14"/>
    <mergeCell ref="B16:Y16"/>
    <mergeCell ref="B2:P2"/>
    <mergeCell ref="B3:P3"/>
    <mergeCell ref="B5:Y5"/>
    <mergeCell ref="B6:C10"/>
    <mergeCell ref="F8:M8"/>
    <mergeCell ref="P8:X8"/>
    <mergeCell ref="F9:M9"/>
    <mergeCell ref="P9:X9"/>
  </mergeCell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993023A8-0728-2018-D0B8-140BF66C6B28}" mc:Ignorable="x14ac xr xr2 xr3">
  <sheetPr>
    <tabColor theme="3" tint="0.6"/>
  </sheetPr>
  <dimension ref="A1:W19"/>
  <sheetViews>
    <sheetView showGridLines="0" zoomScale="90" workbookViewId="0">
      <pane xSplit="6" ySplit="11" topLeftCell="G12" activePane="bottomRight" state="frozen"/>
      <selection pane="bottomLeft" activeCell="A12" sqref="A12"/>
      <selection pane="topRight" activeCell="G1" sqref="G1"/>
      <selection pane="bottomRight" activeCell="A1" sqref="A1"/>
    </sheetView>
  </sheetViews>
  <sheetFormatPr defaultColWidth="10.57421875" customHeight="1" defaultRowHeight="14.25"/>
  <cols>
    <col min="1" max="1" style="1633" width="9.140625" hidden="1" customWidth="1"/>
    <col min="2" max="3" style="1636" width="9.140625" hidden="1" customWidth="1"/>
    <col min="4" max="4" style="1843" width="3.00390625" customWidth="1"/>
    <col min="5" max="5" style="1636" width="6.00390625" customWidth="1"/>
    <col min="6" max="6" style="1636" width="1.7109375" hidden="1" customWidth="1"/>
    <col min="7" max="8" style="1636" width="30.00390625" customWidth="1"/>
    <col min="9" max="9" style="1636" width="8.00390625" customWidth="1"/>
    <col min="10" max="10" style="1636" width="12.140625" customWidth="1"/>
    <col min="11" max="11" style="1636" width="46.00390625" customWidth="1"/>
    <col min="12" max="12" style="1636" width="100.00390625" customWidth="1"/>
    <col min="13" max="13" style="1820" width="7.00390625" customWidth="1"/>
    <col min="14" max="22" style="1636" width="10.00390625" customWidth="1"/>
    <col min="23" max="23" style="1636" width="10.57421875" hidden="1"/>
  </cols>
  <sheetData>
    <row s="1643" customFormat="1" customHeight="1" ht="5.25" hidden="1">
      <c r="C1" s="512"/>
      <c r="D1" s="495"/>
      <c r="F1" s="512"/>
      <c r="G1" s="490" t="s">
        <v>84</v>
      </c>
      <c r="H1" s="490" t="s">
        <v>85</v>
      </c>
      <c r="I1" s="490" t="s">
        <v>86</v>
      </c>
      <c r="P1" s="490" t="s">
        <v>84</v>
      </c>
      <c r="Q1" s="490" t="s">
        <v>85</v>
      </c>
      <c r="R1" s="490" t="s">
        <v>86</v>
      </c>
      <c r="W1" s="490" t="s">
        <v>14</v>
      </c>
    </row>
    <row s="1643" customFormat="1" customHeight="1" ht="5.25" hidden="1">
      <c r="C2" s="512"/>
      <c r="D2" s="495"/>
      <c r="F2" s="512"/>
      <c r="W2" s="490">
        <v>0</v>
      </c>
    </row>
    <row s="1613" customFormat="1" customHeight="1" ht="5.25">
      <c r="A3" s="480"/>
      <c r="D3" s="487"/>
      <c r="E3" s="482"/>
      <c r="F3" s="482"/>
      <c r="G3" s="482"/>
      <c r="H3" s="482"/>
      <c r="I3" s="483"/>
      <c r="J3" s="484"/>
      <c r="K3" s="484"/>
      <c r="L3" s="484"/>
      <c r="W3" s="481">
        <v>5</v>
      </c>
    </row>
    <row customHeight="1" ht="23.25">
      <c r="D4" s="451"/>
      <c r="E4" s="2239" t="s">
        <v>405</v>
      </c>
      <c r="F4" s="2239"/>
      <c r="G4" s="2240"/>
      <c r="H4" s="2240"/>
      <c r="I4" s="2241"/>
      <c r="J4" s="492"/>
      <c r="K4" s="454"/>
      <c r="L4" s="454"/>
      <c r="W4" s="448">
        <v>22</v>
      </c>
    </row>
    <row s="1636" customFormat="1" customHeight="1" ht="18">
      <c r="A5" s="760"/>
      <c r="D5" s="823"/>
      <c r="E5" s="2215" t="str">
        <f>IF(org=0,"Не определено",org)</f>
        <v>ПАО "КГК"</v>
      </c>
      <c r="F5" s="2215"/>
      <c r="G5" s="2216"/>
      <c r="H5" s="2216"/>
      <c r="I5" s="2217"/>
      <c r="J5" s="492"/>
      <c r="K5" s="454"/>
      <c r="L5" s="454"/>
      <c r="M5" s="508"/>
      <c r="W5" s="759">
        <v>17</v>
      </c>
    </row>
    <row s="1613" customFormat="1" customHeight="1" ht="11.549999999999999">
      <c r="A6" s="480"/>
      <c r="D6" s="487"/>
      <c r="E6" s="482"/>
      <c r="F6" s="482"/>
      <c r="G6" s="485"/>
      <c r="H6" s="485"/>
      <c r="I6" s="486"/>
      <c r="J6" s="486"/>
      <c r="K6" s="753"/>
      <c r="L6" s="486"/>
      <c r="W6" s="481">
        <v>11</v>
      </c>
    </row>
    <row customHeight="1" ht="14.699999999999998">
      <c r="D7" s="451"/>
      <c r="E7" s="2209" t="s">
        <v>317</v>
      </c>
      <c r="F7" s="2209"/>
      <c r="G7" s="2210"/>
      <c r="H7" s="2210"/>
      <c r="I7" s="2210"/>
      <c r="J7" s="2210"/>
      <c r="K7" s="2210"/>
      <c r="L7" s="2224" t="s">
        <v>318</v>
      </c>
      <c r="W7" s="448">
        <v>14</v>
      </c>
    </row>
    <row customHeight="1" ht="48.29999999999999">
      <c r="D8" s="451"/>
      <c r="E8" s="474" t="s">
        <v>89</v>
      </c>
      <c r="F8" s="824"/>
      <c r="G8" s="466" t="s">
        <v>87</v>
      </c>
      <c r="H8" s="466" t="s">
        <v>88</v>
      </c>
      <c r="I8" s="415" t="s">
        <v>86</v>
      </c>
      <c r="J8" s="415" t="s">
        <v>406</v>
      </c>
      <c r="K8" s="415" t="s">
        <v>407</v>
      </c>
      <c r="L8" s="2224"/>
      <c r="W8" s="448">
        <v>46</v>
      </c>
    </row>
    <row customHeight="1" ht="12" hidden="1">
      <c r="D9" s="488"/>
      <c r="E9" s="494"/>
      <c r="F9" s="831"/>
      <c r="G9" s="494"/>
      <c r="H9" s="494"/>
      <c r="I9" s="494"/>
      <c r="J9" s="494"/>
      <c r="K9" s="494"/>
      <c r="L9" s="494"/>
      <c r="M9" s="448"/>
      <c r="W9" s="448">
        <v>0</v>
      </c>
    </row>
    <row customHeight="1" ht="14.25" hidden="1">
      <c r="A10" s="506"/>
      <c r="B10" s="506"/>
      <c r="D10" s="507"/>
      <c r="E10" s="513">
        <v>0</v>
      </c>
      <c r="F10" s="822"/>
      <c r="G10" s="509"/>
      <c r="H10" s="509"/>
      <c r="I10" s="509"/>
      <c r="J10" s="509"/>
      <c r="K10" s="509"/>
      <c r="L10" s="2222" t="s">
        <v>408</v>
      </c>
      <c r="M10" s="508"/>
      <c r="N10" s="506"/>
      <c r="O10" s="506"/>
      <c r="P10" s="506"/>
      <c r="Q10" s="506"/>
      <c r="R10" s="506"/>
      <c r="S10" s="506"/>
      <c r="T10" s="506"/>
      <c r="U10" s="506"/>
      <c r="V10" s="506"/>
      <c r="W10" s="448">
        <v>0</v>
      </c>
    </row>
    <row customHeight="1" ht="15" hidden="1">
      <c r="A11" s="2100"/>
      <c r="B11" s="505"/>
      <c r="C11" s="505"/>
      <c r="D11" s="866"/>
      <c r="E11" s="514"/>
      <c r="F11" s="514"/>
      <c r="G11" s="514"/>
      <c r="H11" s="514"/>
      <c r="I11" s="515"/>
      <c r="J11" s="516"/>
      <c r="K11" s="714"/>
      <c r="L11" s="2242"/>
      <c r="M11" s="512"/>
      <c r="N11" s="512"/>
      <c r="O11" s="512"/>
      <c r="P11" s="517"/>
      <c r="Q11" s="517"/>
      <c r="R11" s="518"/>
      <c r="S11" s="512"/>
      <c r="T11" s="512"/>
      <c r="U11" s="512"/>
      <c r="V11" s="512"/>
      <c r="W11" s="448">
        <v>0</v>
      </c>
    </row>
    <row s="1613" customFormat="1" customHeight="1" ht="15">
      <c r="A12" s="2100"/>
      <c r="B12" s="505"/>
      <c r="C12" s="505"/>
      <c r="D12" s="867"/>
      <c r="E12" s="824">
        <v>1</v>
      </c>
      <c r="F12" s="865">
        <v>23</v>
      </c>
      <c r="G12" s="864"/>
      <c r="H12" s="794"/>
      <c r="I12" s="792"/>
      <c r="J12" s="521" t="s">
        <v>61</v>
      </c>
      <c r="K12" s="1165" t="s">
        <v>28</v>
      </c>
      <c r="L12" s="2242"/>
      <c r="M12" s="512"/>
      <c r="N12" s="512"/>
      <c r="O12" s="512"/>
      <c r="P12" s="517" t="s">
        <v>409</v>
      </c>
      <c r="Q12" s="517" t="s">
        <v>410</v>
      </c>
      <c r="R12" s="518" t="s">
        <v>411</v>
      </c>
      <c r="S12" s="512" t="s">
        <v>412</v>
      </c>
      <c r="T12" s="512"/>
      <c r="U12" s="512"/>
      <c r="V12" s="512"/>
      <c r="W12" s="481">
        <v>14</v>
      </c>
    </row>
    <row customHeight="1" ht="15.75">
      <c r="A13" s="2100"/>
      <c r="B13" s="506"/>
      <c r="D13" s="507"/>
      <c r="E13" s="406"/>
      <c r="F13" s="530"/>
      <c r="G13" s="417" t="s">
        <v>111</v>
      </c>
      <c r="H13" s="405"/>
      <c r="I13" s="405"/>
      <c r="J13" s="405"/>
      <c r="K13" s="404"/>
      <c r="L13" s="2223"/>
      <c r="M13" s="510"/>
      <c r="N13" s="506"/>
      <c r="O13" s="506"/>
      <c r="P13" s="506"/>
      <c r="Q13" s="506"/>
      <c r="R13" s="506"/>
      <c r="S13" s="506"/>
      <c r="T13" s="506"/>
      <c r="U13" s="506"/>
      <c r="V13" s="506"/>
      <c r="W13" s="448">
        <v>15</v>
      </c>
    </row>
    <row customHeight="1" ht="11.549999999999999">
      <c r="A14" s="480"/>
      <c r="B14" s="481"/>
      <c r="C14" s="481"/>
      <c r="D14" s="496"/>
      <c r="E14" s="481"/>
      <c r="F14" s="481"/>
      <c r="G14" s="481"/>
      <c r="H14" s="481"/>
      <c r="I14" s="481"/>
      <c r="J14" s="481"/>
      <c r="K14" s="481"/>
      <c r="L14" s="481"/>
      <c r="M14" s="481"/>
      <c r="N14" s="481"/>
      <c r="O14" s="481"/>
      <c r="P14" s="481"/>
      <c r="Q14" s="481"/>
      <c r="R14" s="481"/>
      <c r="S14" s="481"/>
      <c r="T14" s="481"/>
      <c r="U14" s="481"/>
      <c r="V14" s="481"/>
      <c r="W14" s="448">
        <v>11</v>
      </c>
    </row>
    <row customHeight="1" ht="14.699999999999998">
      <c r="D15" s="467"/>
      <c r="E15" s="337"/>
      <c r="F15" s="337"/>
      <c r="G15" s="665" t="str">
        <f>"&lt;1&gt; Указывается информация по муниципальным районам и муниципальным образованиям, на территории которых регулируемая организация осуществляет "&amp;IF(TEMPLATE_SPHERE&lt;&gt;"TKO","регулируемый вид деятельности в сфере "&amp;TEMPLATE_SPHERE_RUS&amp;".","деятельность в области обращения с "&amp;TEMPLATE_SPHERE_RUS_2&amp;".")</f>
        <v>&lt;1&gt; Указывается информация по муниципальным районам и муниципальным образованиям, на территории которых регулируемая организация осуществляет регулируемый вид деятельности в сфере теплоснабжения.</v>
      </c>
      <c r="H15" s="467"/>
      <c r="I15" s="467"/>
      <c r="J15" s="467"/>
      <c r="K15" s="467"/>
      <c r="L15" s="467"/>
      <c r="W15" s="448">
        <v>14</v>
      </c>
    </row>
    <row customHeight="1" ht="14.699999999999998">
      <c r="W16" s="448">
        <v>14</v>
      </c>
    </row>
    <row customHeight="1" ht="14.699999999999998">
      <c r="W17" s="448">
        <v>14</v>
      </c>
    </row>
    <row customHeight="1" ht="14.699999999999998">
      <c r="G18" s="506"/>
      <c r="W18" s="448">
        <v>14</v>
      </c>
    </row>
    <row customHeight="1" ht="22.5" hidden="1">
      <c r="A19" s="450" t="s">
        <v>83</v>
      </c>
      <c r="B19" s="448">
        <v>0</v>
      </c>
      <c r="C19" s="759">
        <v>0</v>
      </c>
      <c r="D19" s="452">
        <v>3</v>
      </c>
      <c r="E19" s="448">
        <v>6</v>
      </c>
      <c r="F19" s="759">
        <v>0</v>
      </c>
      <c r="G19" s="448">
        <v>30</v>
      </c>
      <c r="H19" s="448">
        <v>30</v>
      </c>
      <c r="I19" s="448">
        <v>8</v>
      </c>
      <c r="J19" s="448">
        <v>12</v>
      </c>
      <c r="K19" s="448">
        <v>46</v>
      </c>
      <c r="L19" s="448">
        <v>100</v>
      </c>
      <c r="M19" s="453">
        <v>7</v>
      </c>
      <c r="N19" s="448">
        <v>10</v>
      </c>
      <c r="O19" s="448">
        <v>10</v>
      </c>
      <c r="P19" s="448">
        <v>10</v>
      </c>
      <c r="Q19" s="448">
        <v>10</v>
      </c>
      <c r="R19" s="448">
        <v>10</v>
      </c>
      <c r="S19" s="448">
        <v>10</v>
      </c>
      <c r="T19" s="448">
        <v>10</v>
      </c>
      <c r="U19" s="448">
        <v>10</v>
      </c>
      <c r="V19" s="448">
        <v>10</v>
      </c>
      <c r="W19" s="448">
        <v>23</v>
      </c>
    </row>
  </sheetData>
  <sheetProtection formatColumns="0" formatRows="0" sort="0" autoFilter="0" insertRows="0" insertColumns="1" deleteRows="0" deleteColumns="0"/>
  <mergeCells count="6">
    <mergeCell ref="A11:A13"/>
    <mergeCell ref="E4:I4"/>
    <mergeCell ref="E7:K7"/>
    <mergeCell ref="L7:L8"/>
    <mergeCell ref="L10:L13"/>
    <mergeCell ref="E5:I5"/>
  </mergeCells>
  <dataValidations count="3">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K12">
      <formula1>900</formula1>
    </dataValidation>
    <dataValidation allowBlank="1" showInputMessage="1" showErrorMessage="1" prompt="Изменение значения по двойному щелчоку левой кнопки мыши" sqref="J12"/>
    <dataValidation type="decimal" allowBlank="1" showErrorMessage="1" errorTitle="Ошибка" error="Допускается ввод только неотрицательных чисел!" sqref="G10:K10">
      <formula1>0</formula1>
      <formula2>9.99999999999999E+23</formula2>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3BC3805D-ABE8-AF92-3F4D-992FB3A2ED94}" mc:Ignorable="x14ac xr xr2 xr3">
  <sheetPr>
    <tabColor theme="6" tint="0.4"/>
  </sheetPr>
  <dimension ref="A1:AS65"/>
  <sheetViews>
    <sheetView showGridLines="0" zoomScale="90" workbookViewId="0">
      <pane xSplit="29" ySplit="42" topLeftCell="AD43" activePane="bottomRight" state="frozen"/>
      <selection pane="bottomLeft" activeCell="A43" sqref="A43"/>
      <selection pane="topRight" activeCell="AD1" sqref="AD1"/>
      <selection pane="bottomRight" activeCell="A1" sqref="A1"/>
    </sheetView>
  </sheetViews>
  <sheetFormatPr defaultColWidth="10.57421875" customHeight="1" defaultRowHeight="14.25"/>
  <cols>
    <col min="1" max="1" style="1367" width="10.57421875" hidden="1"/>
    <col min="2" max="2" style="1367" width="11.00390625" hidden="1" customWidth="1"/>
    <col min="3" max="3" style="1367" width="10.57421875" hidden="1"/>
    <col min="4" max="4" style="1367" width="11.8515625" hidden="1" customWidth="1"/>
    <col min="5" max="5" style="1367" width="10.00390625" hidden="1" customWidth="1"/>
    <col min="6" max="6" style="1367" width="8.7109375" hidden="1" customWidth="1"/>
    <col min="7" max="7" style="1367" width="7.57421875" hidden="1" customWidth="1"/>
    <col min="8" max="8" style="1367" width="11.421875" hidden="1" customWidth="1"/>
    <col min="9" max="9" style="1367" width="12.00390625" hidden="1" customWidth="1"/>
    <col min="10" max="10" style="1367" width="9.8515625" hidden="1" customWidth="1"/>
    <col min="11" max="11" style="1367" width="11.421875" hidden="1" customWidth="1"/>
    <col min="12" max="12" style="2608" width="19.140625" hidden="1" customWidth="1"/>
    <col min="13" max="14" style="1777" width="12.28125" hidden="1" customWidth="1"/>
    <col min="15" max="15" style="1777" width="23.421875" hidden="1" customWidth="1"/>
    <col min="16" max="16" style="2398" width="3.00390625" customWidth="1"/>
    <col min="17" max="18" style="345" width="3.00390625" customWidth="1"/>
    <col min="19" max="19" style="2408" width="12.00390625" customWidth="1"/>
    <col min="20" max="20" style="1636" width="35.00390625" customWidth="1"/>
    <col min="21" max="21" style="1636" width="0.140625" customWidth="1"/>
    <col min="22" max="22" style="1636" width="24.7109375" hidden="1" customWidth="1"/>
    <col min="23" max="23" style="1636" width="0.140625" hidden="1" customWidth="1"/>
    <col min="24" max="25" style="1636" width="24.7109375" hidden="1" customWidth="1"/>
    <col min="26" max="26" style="1636" width="11.7109375" hidden="1" customWidth="1"/>
    <col min="27" max="27" style="1636" width="3.7109375" hidden="1" customWidth="1"/>
    <col min="28" max="28" style="1636" width="11.7109375" hidden="1" customWidth="1"/>
    <col min="29" max="29" style="1636" width="8.57421875" hidden="1" customWidth="1"/>
    <col min="30" max="30" style="1636" width="24.7109375" customWidth="1"/>
    <col min="31" max="31" style="1636" width="0.140625" customWidth="1"/>
    <col min="32" max="33" style="1636" width="24.00390625" customWidth="1"/>
    <col min="34" max="34" style="1636" width="11.00390625" customWidth="1"/>
    <col min="35" max="35" style="1636" width="3.7109375" customWidth="1"/>
    <col min="36" max="36" style="1636" width="11.00390625" customWidth="1"/>
    <col min="37" max="37" style="1636" width="8.57421875" hidden="1" customWidth="1"/>
    <col min="38" max="38" style="1636" width="4.00390625" customWidth="1"/>
    <col min="39" max="39" style="1636" width="115.00390625" customWidth="1"/>
    <col min="40" max="44" style="1643" width="10.00390625" customWidth="1"/>
    <col min="45" max="45" style="1636" width="10.57421875" hidden="1"/>
  </cols>
  <sheetData>
    <row customHeight="1" ht="22.5" hidden="1">
      <c r="Y1" s="328"/>
      <c r="Z1" s="328"/>
      <c r="AG1" s="328"/>
      <c r="AH1" s="328"/>
      <c r="AS1" s="1156" t="s">
        <v>14</v>
      </c>
    </row>
    <row customHeight="1" ht="21" hidden="1">
      <c r="A2" s="1364"/>
      <c r="B2" s="1364"/>
      <c r="C2" s="1364"/>
      <c r="D2" s="1364"/>
      <c r="E2" s="2259">
        <v>1</v>
      </c>
      <c r="F2" s="1364"/>
      <c r="G2" s="1364"/>
      <c r="H2" s="1364"/>
      <c r="I2" s="1364"/>
      <c r="J2" s="1364"/>
      <c r="K2" s="1364"/>
      <c r="L2" s="1365"/>
      <c r="M2" s="1366"/>
      <c r="N2" s="1366"/>
      <c r="O2" s="1366"/>
      <c r="P2" s="362"/>
      <c r="Q2" s="361"/>
      <c r="R2" s="356"/>
      <c r="S2" s="1310">
        <f>INDEX(PT_DIFFERENTIATION_NUM_NTAR,MATCH(A2,PT_DIFFERENTIATION_NTAR_ID,0))</f>
      </c>
      <c r="T2" s="299" t="s">
        <v>131</v>
      </c>
      <c r="U2" s="301"/>
      <c r="V2" s="2243"/>
      <c r="W2" s="2244"/>
      <c r="X2" s="2244"/>
      <c r="Y2" s="2244"/>
      <c r="Z2" s="2244"/>
      <c r="AA2" s="2244"/>
      <c r="AB2" s="2244"/>
      <c r="AC2" s="2245"/>
      <c r="AD2" s="2243">
        <f>INDEX(PT_DIFFERENTIATION_NTAR,MATCH(A2,PT_DIFFERENTIATION_NTAR_ID,0))</f>
      </c>
      <c r="AE2" s="2244"/>
      <c r="AF2" s="2244"/>
      <c r="AG2" s="2244"/>
      <c r="AH2" s="2244"/>
      <c r="AI2" s="2244"/>
      <c r="AJ2" s="2244"/>
      <c r="AK2" s="2244"/>
      <c r="AL2" s="2245"/>
      <c r="AM2" s="1259" t="s">
        <v>413</v>
      </c>
      <c r="AO2" s="501"/>
      <c r="AP2" s="501" t="str">
        <f>IF(T2="","",T2)</f>
        <v>Наименование тарифа</v>
      </c>
      <c r="AQ2" s="501"/>
      <c r="AR2" s="501"/>
      <c r="AS2" s="1156">
        <v>0</v>
      </c>
    </row>
    <row customHeight="1" ht="21" hidden="1">
      <c r="A3" s="1364"/>
      <c r="B3" s="1364"/>
      <c r="C3" s="1364"/>
      <c r="D3" s="1364"/>
      <c r="E3" s="2260"/>
      <c r="F3" s="2259">
        <v>1</v>
      </c>
      <c r="G3" s="1364"/>
      <c r="H3" s="1364"/>
      <c r="I3" s="1364"/>
      <c r="J3" s="1364"/>
      <c r="K3" s="1364"/>
      <c r="L3" s="1365"/>
      <c r="M3" s="1366"/>
      <c r="N3" s="1366"/>
      <c r="O3" s="1366"/>
      <c r="P3" s="1305"/>
      <c r="Q3" s="353"/>
      <c r="R3" s="354"/>
      <c r="S3" s="1310">
        <f>INDEX(PT_DIFFERENTIATION_NUM_TER,MATCH(B3,PT_DIFFERENTIATION_TER_ID,0))</f>
      </c>
      <c r="T3" s="309" t="s">
        <v>414</v>
      </c>
      <c r="U3" s="301"/>
      <c r="V3" s="2243"/>
      <c r="W3" s="2244"/>
      <c r="X3" s="2244"/>
      <c r="Y3" s="2244"/>
      <c r="Z3" s="2244"/>
      <c r="AA3" s="2244"/>
      <c r="AB3" s="2244"/>
      <c r="AC3" s="2245"/>
      <c r="AD3" s="2243">
        <f>INDEX(PT_DIFFERENTIATION_TER,MATCH(B3,PT_DIFFERENTIATION_TER_ID,0))</f>
      </c>
      <c r="AE3" s="2244"/>
      <c r="AF3" s="2244"/>
      <c r="AG3" s="2244"/>
      <c r="AH3" s="2244"/>
      <c r="AI3" s="2244"/>
      <c r="AJ3" s="2244"/>
      <c r="AK3" s="2244"/>
      <c r="AL3" s="2245"/>
      <c r="AM3" s="1259" t="s">
        <v>415</v>
      </c>
      <c r="AO3" s="501"/>
      <c r="AP3" s="501" t="str">
        <f>IF(T3="","",T3)</f>
        <v>Территория действия тарифа</v>
      </c>
      <c r="AQ3" s="501"/>
      <c r="AR3" s="501"/>
      <c r="AS3" s="1156">
        <v>0</v>
      </c>
    </row>
    <row customHeight="1" ht="23.25" hidden="1">
      <c r="A4" s="1364"/>
      <c r="B4" s="1364"/>
      <c r="C4" s="1364"/>
      <c r="D4" s="1364"/>
      <c r="E4" s="2260"/>
      <c r="F4" s="2260"/>
      <c r="G4" s="2259">
        <v>1</v>
      </c>
      <c r="H4" s="1364"/>
      <c r="I4" s="1364"/>
      <c r="J4" s="1364"/>
      <c r="K4" s="1364"/>
      <c r="L4" s="1365"/>
      <c r="M4" s="1366"/>
      <c r="N4" s="1366"/>
      <c r="O4" s="1366"/>
      <c r="P4" s="355"/>
      <c r="Q4" s="353"/>
      <c r="R4" s="354"/>
      <c r="S4" s="1310">
        <f>INDEX(PT_DIFFERENTIATION_NUM_CS,MATCH(C4,PT_DIFFERENTIATION_CS_ID,0))</f>
      </c>
      <c r="T4" s="310" t="s">
        <v>416</v>
      </c>
      <c r="U4" s="301"/>
      <c r="V4" s="2243"/>
      <c r="W4" s="2244"/>
      <c r="X4" s="2244"/>
      <c r="Y4" s="2244"/>
      <c r="Z4" s="2244"/>
      <c r="AA4" s="2244"/>
      <c r="AB4" s="2244"/>
      <c r="AC4" s="2245"/>
      <c r="AD4" s="2243">
        <f>INDEX(PT_DIFFERENTIATION_CS,MATCH(C4,PT_DIFFERENTIATION_CS_ID,0))</f>
      </c>
      <c r="AE4" s="2244"/>
      <c r="AF4" s="2244"/>
      <c r="AG4" s="2244"/>
      <c r="AH4" s="2244"/>
      <c r="AI4" s="2244"/>
      <c r="AJ4" s="2244"/>
      <c r="AK4" s="2244"/>
      <c r="AL4" s="2245"/>
      <c r="AM4" s="1259" t="s">
        <v>417</v>
      </c>
      <c r="AO4" s="501"/>
      <c r="AP4" s="501" t="str">
        <f>IF(T4="","",T4)</f>
        <v>Наименование системы теплоснабжения </v>
      </c>
      <c r="AQ4" s="501"/>
      <c r="AR4" s="501"/>
      <c r="AS4" s="1156">
        <v>0</v>
      </c>
    </row>
    <row customHeight="1" ht="21" hidden="1">
      <c r="A5" s="1364"/>
      <c r="B5" s="1364"/>
      <c r="C5" s="1364"/>
      <c r="D5" s="1364"/>
      <c r="E5" s="2260"/>
      <c r="F5" s="2260"/>
      <c r="G5" s="2260"/>
      <c r="H5" s="2259">
        <v>1</v>
      </c>
      <c r="I5" s="1364"/>
      <c r="J5" s="1364"/>
      <c r="K5" s="1364"/>
      <c r="L5" s="1365"/>
      <c r="M5" s="1366"/>
      <c r="N5" s="1366"/>
      <c r="O5" s="1366"/>
      <c r="P5" s="355"/>
      <c r="Q5" s="353"/>
      <c r="R5" s="354"/>
      <c r="S5" s="1310">
        <f>INDEX(PT_DIFFERENTIATION_NUM_IST_TE,MATCH(D5,PT_DIFFERENTIATION_IST_TE_ID,0))</f>
      </c>
      <c r="T5" s="311" t="s">
        <v>418</v>
      </c>
      <c r="U5" s="301"/>
      <c r="V5" s="2243"/>
      <c r="W5" s="2244"/>
      <c r="X5" s="2244"/>
      <c r="Y5" s="2244"/>
      <c r="Z5" s="2244"/>
      <c r="AA5" s="2244"/>
      <c r="AB5" s="2244"/>
      <c r="AC5" s="2245"/>
      <c r="AD5" s="2243">
        <f>INDEX(PT_DIFFERENTIATION_IST_TE,MATCH(D5,PT_DIFFERENTIATION_IST_TE_ID,0))</f>
      </c>
      <c r="AE5" s="2244"/>
      <c r="AF5" s="2244"/>
      <c r="AG5" s="2244"/>
      <c r="AH5" s="2244"/>
      <c r="AI5" s="2244"/>
      <c r="AJ5" s="2244"/>
      <c r="AK5" s="2244"/>
      <c r="AL5" s="2245"/>
      <c r="AM5" s="1259" t="s">
        <v>419</v>
      </c>
      <c r="AO5" s="501"/>
      <c r="AP5" s="501" t="str">
        <f>IF(T5="","",T5)</f>
        <v>Источник тепловой энергии  </v>
      </c>
      <c r="AQ5" s="501"/>
      <c r="AR5" s="501"/>
      <c r="AS5" s="1156">
        <v>0</v>
      </c>
    </row>
    <row customHeight="1" ht="47.25" hidden="1">
      <c r="A6" s="1364"/>
      <c r="B6" s="1364"/>
      <c r="C6" s="1364"/>
      <c r="D6" s="1364"/>
      <c r="E6" s="2260"/>
      <c r="F6" s="2260"/>
      <c r="G6" s="2260"/>
      <c r="H6" s="2260"/>
      <c r="I6" s="2257">
        <f>S5&amp;".1"</f>
      </c>
      <c r="J6" s="1364"/>
      <c r="K6" s="1364"/>
      <c r="L6" s="1365" t="s">
        <v>420</v>
      </c>
      <c r="M6" s="538"/>
      <c r="P6" s="2258">
        <v>1</v>
      </c>
      <c r="Q6" s="1306"/>
      <c r="R6" s="357"/>
      <c r="S6" s="1310">
        <f>$I6</f>
      </c>
      <c r="T6" s="286" t="s">
        <v>421</v>
      </c>
      <c r="U6" s="301"/>
      <c r="V6" s="2246"/>
      <c r="W6" s="2247"/>
      <c r="X6" s="2247"/>
      <c r="Y6" s="2247"/>
      <c r="Z6" s="2247"/>
      <c r="AA6" s="2247"/>
      <c r="AB6" s="2247"/>
      <c r="AC6" s="2248"/>
      <c r="AD6" s="2246"/>
      <c r="AE6" s="2247"/>
      <c r="AF6" s="2247"/>
      <c r="AG6" s="2247"/>
      <c r="AH6" s="2247"/>
      <c r="AI6" s="2247"/>
      <c r="AJ6" s="2247"/>
      <c r="AK6" s="2247"/>
      <c r="AL6" s="2248"/>
      <c r="AM6" s="1259" t="s">
        <v>422</v>
      </c>
      <c r="AO6" s="501"/>
      <c r="AP6" s="501" t="str">
        <f>IF(T6="","",T6)</f>
        <v>Схема подключения теплопотребляющей установки к коллектору источника тепловой энергии</v>
      </c>
      <c r="AQ6" s="501"/>
      <c r="AR6" s="501"/>
      <c r="AS6" s="1156">
        <v>0</v>
      </c>
    </row>
    <row customHeight="1" ht="21" hidden="1">
      <c r="A7" s="1364"/>
      <c r="B7" s="1364"/>
      <c r="C7" s="1364"/>
      <c r="D7" s="1364"/>
      <c r="E7" s="2260"/>
      <c r="F7" s="2260"/>
      <c r="G7" s="2260"/>
      <c r="H7" s="2260"/>
      <c r="I7" s="2287"/>
      <c r="J7" s="2257">
        <f>I6&amp;".1"</f>
      </c>
      <c r="K7" s="1364"/>
      <c r="L7" s="1365" t="s">
        <v>423</v>
      </c>
      <c r="M7" s="538"/>
      <c r="N7" s="1367"/>
      <c r="P7" s="2258"/>
      <c r="Q7" s="2258">
        <v>1</v>
      </c>
      <c r="R7" s="358"/>
      <c r="S7" s="1310">
        <f>$J7</f>
      </c>
      <c r="T7" s="287" t="s">
        <v>424</v>
      </c>
      <c r="U7" s="301"/>
      <c r="V7" s="2246"/>
      <c r="W7" s="2247"/>
      <c r="X7" s="2247"/>
      <c r="Y7" s="2247"/>
      <c r="Z7" s="2247"/>
      <c r="AA7" s="2247"/>
      <c r="AB7" s="2247"/>
      <c r="AC7" s="2248"/>
      <c r="AD7" s="2246"/>
      <c r="AE7" s="2247"/>
      <c r="AF7" s="2247"/>
      <c r="AG7" s="2247"/>
      <c r="AH7" s="2247"/>
      <c r="AI7" s="2247"/>
      <c r="AJ7" s="2247"/>
      <c r="AK7" s="2247"/>
      <c r="AL7" s="2248"/>
      <c r="AM7" s="1259" t="s">
        <v>425</v>
      </c>
      <c r="AO7" s="501"/>
      <c r="AP7" s="501" t="str">
        <f>IF(T7="","",T7)</f>
        <v>Группа потребителей</v>
      </c>
      <c r="AQ7" s="501"/>
      <c r="AR7" s="501"/>
      <c r="AS7" s="1156">
        <v>0</v>
      </c>
    </row>
    <row customHeight="1" ht="21" hidden="1">
      <c r="A8" s="1364"/>
      <c r="B8" s="1364"/>
      <c r="C8" s="1364"/>
      <c r="D8" s="1364"/>
      <c r="E8" s="2260"/>
      <c r="F8" s="2260"/>
      <c r="G8" s="2260"/>
      <c r="H8" s="2260"/>
      <c r="I8" s="2287"/>
      <c r="J8" s="2287"/>
      <c r="K8" s="2257">
        <f>J7&amp;".1"</f>
      </c>
      <c r="L8" s="1365" t="s">
        <v>426</v>
      </c>
      <c r="M8" s="538"/>
      <c r="N8" s="1367"/>
      <c r="O8" s="1367"/>
      <c r="P8" s="2258"/>
      <c r="Q8" s="2258"/>
      <c r="R8" s="358">
        <v>1</v>
      </c>
      <c r="S8" s="1310">
        <f>$K8</f>
      </c>
      <c r="T8" s="1348"/>
      <c r="U8" s="301"/>
      <c r="V8" s="752"/>
      <c r="W8" s="326"/>
      <c r="X8" s="752"/>
      <c r="Y8" s="1258"/>
      <c r="Z8" s="2266"/>
      <c r="AA8" s="2108" t="s">
        <v>61</v>
      </c>
      <c r="AB8" s="2266"/>
      <c r="AC8" s="2108" t="s">
        <v>61</v>
      </c>
      <c r="AD8" s="752"/>
      <c r="AE8" s="326"/>
      <c r="AF8" s="752"/>
      <c r="AG8" s="1258"/>
      <c r="AH8" s="2266"/>
      <c r="AI8" s="2108" t="s">
        <v>61</v>
      </c>
      <c r="AJ8" s="2266"/>
      <c r="AK8" s="2108" t="s">
        <v>61</v>
      </c>
      <c r="AL8" s="326"/>
      <c r="AM8" s="2254" t="s">
        <v>427</v>
      </c>
      <c r="AN8" s="512">
        <f>STRCHECKDATE(V9:AL9)</f>
      </c>
      <c r="AO8" s="501"/>
      <c r="AP8" s="501" t="str">
        <f>IF(T8="","",T8)</f>
        <v/>
      </c>
      <c r="AQ8" s="501"/>
      <c r="AR8" s="501"/>
      <c r="AS8" s="1156">
        <v>0</v>
      </c>
    </row>
    <row customHeight="1" ht="0.75" hidden="1">
      <c r="A9" s="1364"/>
      <c r="B9" s="1364"/>
      <c r="C9" s="1364"/>
      <c r="D9" s="1364"/>
      <c r="E9" s="2260"/>
      <c r="F9" s="2260"/>
      <c r="G9" s="2260"/>
      <c r="H9" s="2260"/>
      <c r="I9" s="2287"/>
      <c r="J9" s="2287"/>
      <c r="K9" s="2257"/>
      <c r="L9" s="1365"/>
      <c r="M9" s="538"/>
      <c r="N9" s="1367"/>
      <c r="O9" s="1367"/>
      <c r="P9" s="2258"/>
      <c r="Q9" s="2258"/>
      <c r="R9" s="358"/>
      <c r="S9" s="1307"/>
      <c r="T9" s="301"/>
      <c r="U9" s="301"/>
      <c r="V9" s="326"/>
      <c r="W9" s="326"/>
      <c r="X9" s="326"/>
      <c r="Y9" s="329" t="str">
        <f>Z8&amp;"-"&amp;AB8</f>
        <v>-</v>
      </c>
      <c r="Z9" s="2267"/>
      <c r="AA9" s="2108"/>
      <c r="AB9" s="2267"/>
      <c r="AC9" s="2108"/>
      <c r="AD9" s="326"/>
      <c r="AE9" s="326"/>
      <c r="AF9" s="326"/>
      <c r="AG9" s="329" t="str">
        <f>AH8&amp;"-"&amp;AJ8</f>
        <v>-</v>
      </c>
      <c r="AH9" s="2267"/>
      <c r="AI9" s="2108"/>
      <c r="AJ9" s="2267"/>
      <c r="AK9" s="2108"/>
      <c r="AL9" s="326"/>
      <c r="AM9" s="2255"/>
      <c r="AO9" s="501"/>
      <c r="AP9" s="501" t="str">
        <f>IF(T9="","",T9)</f>
        <v/>
      </c>
      <c r="AQ9" s="501"/>
      <c r="AR9" s="501"/>
      <c r="AS9" s="1156">
        <v>0</v>
      </c>
    </row>
    <row customHeight="1" ht="15" hidden="1">
      <c r="A10" s="1364"/>
      <c r="B10" s="1364"/>
      <c r="C10" s="1364"/>
      <c r="D10" s="1364"/>
      <c r="E10" s="2260"/>
      <c r="F10" s="2260"/>
      <c r="G10" s="2260"/>
      <c r="H10" s="2260"/>
      <c r="I10" s="2287"/>
      <c r="J10" s="2257"/>
      <c r="K10" s="1364"/>
      <c r="L10" s="1365"/>
      <c r="M10" s="538"/>
      <c r="N10" s="1367"/>
      <c r="P10" s="2258"/>
      <c r="Q10" s="2258"/>
      <c r="R10" s="357"/>
      <c r="S10" s="1279"/>
      <c r="T10" s="289" t="s">
        <v>428</v>
      </c>
      <c r="U10" s="368"/>
      <c r="V10" s="368"/>
      <c r="W10" s="368"/>
      <c r="X10" s="368"/>
      <c r="Y10" s="368"/>
      <c r="Z10" s="368"/>
      <c r="AA10" s="368"/>
      <c r="AB10" s="368"/>
      <c r="AC10" s="368"/>
      <c r="AD10" s="368"/>
      <c r="AE10" s="368"/>
      <c r="AF10" s="368"/>
      <c r="AG10" s="368"/>
      <c r="AH10" s="368"/>
      <c r="AI10" s="368"/>
      <c r="AJ10" s="368"/>
      <c r="AK10" s="368"/>
      <c r="AL10" s="325"/>
      <c r="AM10" s="2256"/>
      <c r="AO10" s="501"/>
      <c r="AP10" s="501" t="str">
        <f>IF(T10="","",T10)</f>
        <v>Добавить вид теплоносителя (параметры теплоносителя)</v>
      </c>
      <c r="AQ10" s="501"/>
      <c r="AR10" s="501"/>
      <c r="AS10" s="1156">
        <v>0</v>
      </c>
    </row>
    <row customHeight="1" ht="15" hidden="1">
      <c r="A11" s="1364"/>
      <c r="B11" s="1364"/>
      <c r="C11" s="1364"/>
      <c r="D11" s="1364"/>
      <c r="E11" s="2260"/>
      <c r="F11" s="2260"/>
      <c r="G11" s="2260"/>
      <c r="H11" s="2260"/>
      <c r="I11" s="2257"/>
      <c r="J11" s="1364"/>
      <c r="K11" s="1364"/>
      <c r="L11" s="1365"/>
      <c r="M11" s="538"/>
      <c r="P11" s="2258"/>
      <c r="Q11" s="1306"/>
      <c r="R11" s="357"/>
      <c r="S11" s="1279"/>
      <c r="T11" s="288" t="s">
        <v>429</v>
      </c>
      <c r="U11" s="368"/>
      <c r="V11" s="368"/>
      <c r="W11" s="368"/>
      <c r="X11" s="368"/>
      <c r="Y11" s="368"/>
      <c r="Z11" s="368"/>
      <c r="AA11" s="368"/>
      <c r="AB11" s="368"/>
      <c r="AC11" s="367"/>
      <c r="AD11" s="368"/>
      <c r="AE11" s="368"/>
      <c r="AF11" s="368"/>
      <c r="AG11" s="368"/>
      <c r="AH11" s="368"/>
      <c r="AI11" s="368"/>
      <c r="AJ11" s="368"/>
      <c r="AK11" s="367"/>
      <c r="AL11" s="368"/>
      <c r="AM11" s="304"/>
      <c r="AO11" s="501"/>
      <c r="AP11" s="501" t="str">
        <f>IF(T11="","",T11)</f>
        <v>Добавить группу потребителей</v>
      </c>
      <c r="AQ11" s="501"/>
      <c r="AR11" s="501"/>
      <c r="AS11" s="1156">
        <v>0</v>
      </c>
    </row>
    <row customHeight="1" ht="14.25" hidden="1">
      <c r="A12" s="1364"/>
      <c r="B12" s="1364"/>
      <c r="C12" s="1364"/>
      <c r="D12" s="1364"/>
      <c r="E12" s="2260"/>
      <c r="F12" s="2260"/>
      <c r="G12" s="2260"/>
      <c r="H12" s="2259"/>
      <c r="I12" s="1364"/>
      <c r="J12" s="1364"/>
      <c r="K12" s="1364"/>
      <c r="L12" s="1365"/>
      <c r="M12" s="1366"/>
      <c r="N12" s="1366"/>
      <c r="O12" s="538"/>
      <c r="P12" s="361"/>
      <c r="Q12" s="376"/>
      <c r="R12" s="356"/>
      <c r="S12" s="1279"/>
      <c r="T12" s="366" t="s">
        <v>430</v>
      </c>
      <c r="U12" s="368"/>
      <c r="V12" s="368"/>
      <c r="W12" s="368"/>
      <c r="X12" s="368"/>
      <c r="Y12" s="368"/>
      <c r="Z12" s="368"/>
      <c r="AA12" s="368"/>
      <c r="AB12" s="368"/>
      <c r="AC12" s="367"/>
      <c r="AD12" s="368"/>
      <c r="AE12" s="368"/>
      <c r="AF12" s="368"/>
      <c r="AG12" s="368"/>
      <c r="AH12" s="368"/>
      <c r="AI12" s="368"/>
      <c r="AJ12" s="368"/>
      <c r="AK12" s="367"/>
      <c r="AL12" s="368"/>
      <c r="AM12" s="304"/>
      <c r="AO12" s="501"/>
      <c r="AP12" s="501" t="str">
        <f>IF(T12="","",T12)</f>
        <v>Добавить схему подключения</v>
      </c>
      <c r="AQ12" s="501"/>
      <c r="AR12" s="501"/>
      <c r="AS12" s="1156">
        <v>0</v>
      </c>
    </row>
    <row s="1643" customFormat="1" customHeight="1" ht="0.75" hidden="1">
      <c r="A13" s="1315"/>
      <c r="B13" s="1315"/>
      <c r="C13" s="1315"/>
      <c r="D13" s="1315"/>
      <c r="E13" s="2260"/>
      <c r="F13" s="2260"/>
      <c r="G13" s="2259"/>
      <c r="H13" s="1315"/>
      <c r="I13" s="1315"/>
      <c r="J13" s="1315"/>
      <c r="K13" s="1315"/>
      <c r="L13" s="1340"/>
      <c r="M13" s="1316"/>
      <c r="N13" s="1316"/>
      <c r="P13" s="1317"/>
      <c r="Q13" s="1318"/>
      <c r="R13" s="1317"/>
      <c r="S13" s="1319"/>
      <c r="T13" s="1320" t="s">
        <v>176</v>
      </c>
      <c r="U13" s="1321"/>
      <c r="V13" s="1321"/>
      <c r="W13" s="1321"/>
      <c r="X13" s="1321"/>
      <c r="Y13" s="1321"/>
      <c r="Z13" s="1321"/>
      <c r="AA13" s="1321"/>
      <c r="AB13" s="1321"/>
      <c r="AC13" s="1321"/>
      <c r="AD13" s="1321"/>
      <c r="AE13" s="1321"/>
      <c r="AF13" s="1321"/>
      <c r="AG13" s="1321"/>
      <c r="AH13" s="1321"/>
      <c r="AI13" s="1321"/>
      <c r="AJ13" s="1321"/>
      <c r="AK13" s="1321"/>
      <c r="AL13" s="1321"/>
      <c r="AM13" s="1321"/>
      <c r="AO13" s="790"/>
      <c r="AP13" s="790" t="str">
        <f>IF(T13="","",T13)</f>
        <v>Добавить источник для дифференциации</v>
      </c>
      <c r="AQ13" s="790"/>
      <c r="AR13" s="790"/>
      <c r="AS13" s="519">
        <v>0</v>
      </c>
    </row>
    <row s="1643" customFormat="1" customHeight="1" ht="0.75" hidden="1">
      <c r="A14" s="1315"/>
      <c r="B14" s="1315"/>
      <c r="C14" s="1315"/>
      <c r="D14" s="1315"/>
      <c r="E14" s="2260"/>
      <c r="F14" s="2259"/>
      <c r="G14" s="1315"/>
      <c r="H14" s="1315"/>
      <c r="I14" s="1315"/>
      <c r="J14" s="1315"/>
      <c r="K14" s="1315"/>
      <c r="L14" s="1340"/>
      <c r="M14" s="1322"/>
      <c r="N14" s="1322"/>
      <c r="P14" s="1317"/>
      <c r="Q14" s="1318"/>
      <c r="R14" s="1317"/>
      <c r="S14" s="1323"/>
      <c r="T14" s="1324" t="s">
        <v>177</v>
      </c>
      <c r="U14" s="1325"/>
      <c r="V14" s="1325"/>
      <c r="W14" s="1325"/>
      <c r="X14" s="1325"/>
      <c r="Y14" s="1325"/>
      <c r="Z14" s="1325"/>
      <c r="AA14" s="1325"/>
      <c r="AB14" s="1325"/>
      <c r="AC14" s="1325"/>
      <c r="AD14" s="1325"/>
      <c r="AE14" s="1325"/>
      <c r="AF14" s="1325"/>
      <c r="AG14" s="1325"/>
      <c r="AH14" s="1325"/>
      <c r="AI14" s="1325"/>
      <c r="AJ14" s="1325"/>
      <c r="AK14" s="1325"/>
      <c r="AL14" s="1325"/>
      <c r="AM14" s="1325"/>
      <c r="AO14" s="790"/>
      <c r="AP14" s="790" t="str">
        <f>IF(T14="","",T14)</f>
        <v>Добавить централизованную систему для дифференциации</v>
      </c>
      <c r="AQ14" s="790"/>
      <c r="AR14" s="790"/>
      <c r="AS14" s="519">
        <v>0</v>
      </c>
    </row>
    <row s="1643" customFormat="1" customHeight="1" ht="0.75" hidden="1">
      <c r="A15" s="1315"/>
      <c r="B15" s="1315"/>
      <c r="C15" s="1315"/>
      <c r="D15" s="1315"/>
      <c r="E15" s="2259"/>
      <c r="F15" s="1315"/>
      <c r="G15" s="1315"/>
      <c r="H15" s="1315"/>
      <c r="I15" s="1315"/>
      <c r="J15" s="1315"/>
      <c r="K15" s="1315"/>
      <c r="L15" s="1340"/>
      <c r="M15" s="1322"/>
      <c r="N15" s="1322"/>
      <c r="P15" s="1317"/>
      <c r="Q15" s="1318"/>
      <c r="R15" s="1317"/>
      <c r="S15" s="1323"/>
      <c r="T15" s="1326" t="s">
        <v>178</v>
      </c>
      <c r="U15" s="1325"/>
      <c r="V15" s="1325"/>
      <c r="W15" s="1325"/>
      <c r="X15" s="1325"/>
      <c r="Y15" s="1325"/>
      <c r="Z15" s="1325"/>
      <c r="AA15" s="1325"/>
      <c r="AB15" s="1325"/>
      <c r="AC15" s="1325"/>
      <c r="AD15" s="1325"/>
      <c r="AE15" s="1325"/>
      <c r="AF15" s="1325"/>
      <c r="AG15" s="1325"/>
      <c r="AH15" s="1325"/>
      <c r="AI15" s="1325"/>
      <c r="AJ15" s="1325"/>
      <c r="AK15" s="1325"/>
      <c r="AL15" s="1325"/>
      <c r="AM15" s="1325"/>
      <c r="AO15" s="790"/>
      <c r="AP15" s="790" t="str">
        <f>IF(T15="","",T15)</f>
        <v>Добавить территорию для дифференциации</v>
      </c>
      <c r="AQ15" s="790"/>
      <c r="AR15" s="790"/>
      <c r="AS15" s="519">
        <v>0</v>
      </c>
    </row>
    <row customHeight="1" ht="14.25" hidden="1">
      <c r="AC16" s="328"/>
      <c r="AK16" s="328"/>
      <c r="AS16" s="1156">
        <v>0</v>
      </c>
    </row>
    <row customHeight="1" ht="14.25" hidden="1">
      <c r="P17" s="1312"/>
      <c r="AD17" s="1361"/>
      <c r="AE17" s="1361"/>
      <c r="AF17" s="1361"/>
      <c r="AG17" s="1362"/>
      <c r="AH17" s="2268"/>
      <c r="AI17" s="2269" t="s">
        <v>61</v>
      </c>
      <c r="AJ17" s="2268"/>
      <c r="AK17" s="2269" t="s">
        <v>61</v>
      </c>
      <c r="AS17" s="1156">
        <v>0</v>
      </c>
    </row>
    <row customHeight="1" ht="14.25" hidden="1">
      <c r="P18" s="1312"/>
      <c r="AD18" s="1361"/>
      <c r="AE18" s="1361"/>
      <c r="AF18" s="1361"/>
      <c r="AG18" s="329" t="str">
        <f>AH17&amp;"-"&amp;AJ17</f>
        <v>-</v>
      </c>
      <c r="AH18" s="2269"/>
      <c r="AI18" s="2269"/>
      <c r="AJ18" s="2269"/>
      <c r="AK18" s="2269"/>
      <c r="AS18" s="1156">
        <v>0</v>
      </c>
    </row>
    <row customHeight="1" ht="14.25" hidden="1">
      <c r="P19" s="1312"/>
      <c r="AK19" s="328"/>
      <c r="AS19" s="1156">
        <v>0</v>
      </c>
    </row>
    <row s="1367" customFormat="1" customHeight="1" ht="22.5" hidden="1">
      <c r="L20" s="1330"/>
      <c r="M20" s="1363"/>
      <c r="N20" s="1363"/>
      <c r="O20" s="1368" t="s">
        <v>431</v>
      </c>
      <c r="P20" s="1363"/>
      <c r="Q20" s="1372"/>
      <c r="R20" s="1372"/>
      <c r="S20" s="730"/>
      <c r="Z20" s="1368"/>
      <c r="AB20" s="1368"/>
      <c r="AC20" s="1367"/>
      <c r="AH20" s="1368"/>
      <c r="AJ20" s="1368"/>
      <c r="AK20" s="1367"/>
      <c r="AN20" s="512"/>
      <c r="AO20" s="512"/>
      <c r="AP20" s="512"/>
      <c r="AQ20" s="512"/>
      <c r="AR20" s="512"/>
      <c r="AS20" s="1161">
        <v>0</v>
      </c>
    </row>
    <row s="1367" customFormat="1" customHeight="1" ht="14.25" hidden="1">
      <c r="L21" s="1330"/>
      <c r="M21" s="1363"/>
      <c r="N21" s="1363"/>
      <c r="O21" s="1363"/>
      <c r="P21" s="1363"/>
      <c r="Q21" s="1372"/>
      <c r="R21" s="1372"/>
      <c r="S21" s="730"/>
      <c r="AC21" s="1367"/>
      <c r="AK21" s="1367"/>
      <c r="AN21" s="512"/>
      <c r="AO21" s="512"/>
      <c r="AP21" s="512"/>
      <c r="AQ21" s="512"/>
      <c r="AR21" s="512"/>
      <c r="AS21" s="1161">
        <v>0</v>
      </c>
    </row>
    <row s="1367" customFormat="1" customHeight="1" ht="14.25" hidden="1">
      <c r="L22" s="1330"/>
      <c r="M22" s="1363"/>
      <c r="N22" s="1363"/>
      <c r="O22" s="1365" t="s">
        <v>432</v>
      </c>
      <c r="P22" s="1363"/>
      <c r="Q22" s="1372"/>
      <c r="R22" s="1372"/>
      <c r="S22" s="730"/>
      <c r="T22" s="1161" t="s">
        <v>433</v>
      </c>
      <c r="AA22" s="187" t="s">
        <v>434</v>
      </c>
      <c r="AC22" s="187" t="s">
        <v>435</v>
      </c>
      <c r="AD22" s="1161" t="s">
        <v>433</v>
      </c>
      <c r="AI22" s="187" t="s">
        <v>436</v>
      </c>
      <c r="AK22" s="187" t="s">
        <v>435</v>
      </c>
      <c r="AN22" s="512"/>
      <c r="AO22" s="512"/>
      <c r="AP22" s="512"/>
      <c r="AQ22" s="512"/>
      <c r="AR22" s="512"/>
      <c r="AS22" s="1161">
        <v>0</v>
      </c>
    </row>
    <row customHeight="1" ht="14.25" hidden="1">
      <c r="O23" s="1365"/>
      <c r="P23" s="1312"/>
      <c r="AS23" s="1156">
        <v>0</v>
      </c>
    </row>
    <row customHeight="1" ht="14.25" hidden="1">
      <c r="O24" s="1365"/>
      <c r="P24" s="1312"/>
      <c r="AS24" s="1156">
        <v>0</v>
      </c>
    </row>
    <row customHeight="1" ht="14.699999999999998">
      <c r="Q25" s="377"/>
      <c r="R25" s="377"/>
      <c r="S25" s="1276"/>
      <c r="T25" s="364"/>
      <c r="U25" s="364"/>
      <c r="V25" s="510"/>
      <c r="W25" s="510"/>
      <c r="X25" s="510"/>
      <c r="Y25" s="510"/>
      <c r="Z25" s="510"/>
      <c r="AA25" s="510"/>
      <c r="AB25" s="510"/>
      <c r="AC25" s="510"/>
      <c r="AD25" s="510"/>
      <c r="AE25" s="510"/>
      <c r="AF25" s="510"/>
      <c r="AG25" s="510"/>
      <c r="AH25" s="510"/>
      <c r="AI25" s="510"/>
      <c r="AJ25" s="510"/>
      <c r="AK25" s="510"/>
      <c r="AS25" s="1156">
        <v>14</v>
      </c>
    </row>
    <row customHeight="1" ht="14.699999999999998">
      <c r="Q26" s="377"/>
      <c r="R26" s="377"/>
      <c r="S26" s="2249" t="str">
        <f>IF(TEMPLATE_GROUP="P",PT_P_FORM_HEAT_4_NAME_FORM,PT_R_FORM_HEAT_21_NAME_FORM)</f>
        <v>Форма 19. Информация о предложении регулируемой организации о расчетной величине тарифов в сфере теплоснабжения на очередной расчетный период регулирования</v>
      </c>
      <c r="T26" s="2249"/>
      <c r="U26" s="2249"/>
      <c r="V26" s="2249"/>
      <c r="W26" s="2249"/>
      <c r="X26" s="2249"/>
      <c r="Y26" s="2249"/>
      <c r="Z26" s="2249"/>
      <c r="AA26" s="2249"/>
      <c r="AB26" s="2249"/>
      <c r="AC26" s="2249"/>
      <c r="AD26" s="2249"/>
      <c r="AE26" s="2249"/>
      <c r="AF26" s="2249"/>
      <c r="AG26" s="2249"/>
      <c r="AH26" s="2249"/>
      <c r="AI26" s="2249"/>
      <c r="AJ26" s="2249"/>
      <c r="AK26" s="1244"/>
      <c r="AS26" s="1156">
        <v>14</v>
      </c>
    </row>
    <row customHeight="1" ht="14.699999999999998">
      <c r="Q27" s="377"/>
      <c r="R27" s="377"/>
      <c r="S27" s="2250" t="str">
        <f>IF(org=0,"Не определено",org)</f>
        <v>ПАО "КГК"</v>
      </c>
      <c r="T27" s="2250"/>
      <c r="U27" s="2250"/>
      <c r="V27" s="2250"/>
      <c r="W27" s="2250"/>
      <c r="X27" s="2250"/>
      <c r="Y27" s="2250"/>
      <c r="Z27" s="2250"/>
      <c r="AA27" s="2250"/>
      <c r="AB27" s="2250"/>
      <c r="AC27" s="2250"/>
      <c r="AD27" s="2250"/>
      <c r="AE27" s="2250"/>
      <c r="AF27" s="2250"/>
      <c r="AG27" s="2250"/>
      <c r="AH27" s="2250"/>
      <c r="AI27" s="2250"/>
      <c r="AJ27" s="2250"/>
      <c r="AK27" s="1244"/>
      <c r="AS27" s="1156">
        <v>14</v>
      </c>
    </row>
    <row customHeight="1" ht="14.25" hidden="1">
      <c r="Q28" s="377"/>
      <c r="R28" s="377"/>
      <c r="S28" s="1276"/>
      <c r="T28" s="364"/>
      <c r="U28" s="364"/>
      <c r="V28" s="323"/>
      <c r="W28" s="323"/>
      <c r="X28" s="323"/>
      <c r="Y28" s="323"/>
      <c r="Z28" s="323"/>
      <c r="AA28" s="323"/>
      <c r="AB28" s="323"/>
      <c r="AC28" s="323"/>
      <c r="AD28" s="323"/>
      <c r="AE28" s="323"/>
      <c r="AF28" s="323"/>
      <c r="AG28" s="323"/>
      <c r="AH28" s="323"/>
      <c r="AI28" s="323"/>
      <c r="AJ28" s="323"/>
      <c r="AK28" s="323"/>
      <c r="AL28" s="510"/>
      <c r="AS28" s="1156">
        <v>0</v>
      </c>
    </row>
    <row s="1854" customFormat="1" customHeight="1" ht="25.5" hidden="1">
      <c r="A29" s="1369"/>
      <c r="B29" s="1369"/>
      <c r="C29" s="1369"/>
      <c r="D29" s="1369"/>
      <c r="E29" s="1369"/>
      <c r="F29" s="1369"/>
      <c r="G29" s="1369"/>
      <c r="H29" s="1369"/>
      <c r="I29" s="1369"/>
      <c r="J29" s="1369"/>
      <c r="K29" s="1369"/>
      <c r="L29" s="1370"/>
      <c r="M29" s="1369"/>
      <c r="N29" s="1369"/>
      <c r="O29" s="1369"/>
      <c r="S29" s="2251" t="s">
        <v>42</v>
      </c>
      <c r="T29" s="2251"/>
      <c r="U29" s="1373"/>
      <c r="V29" s="2252" t="str">
        <f>IF(TITLE_NAME_OR_PR_CHANGE="",IF(TITLE_NAME_OR_PR="","",TITLE_NAME_OR_PR),TITLE_NAME_OR_PR_CHANGE)</f>
        <v/>
      </c>
      <c r="W29" s="2252"/>
      <c r="X29" s="2252"/>
      <c r="Y29" s="2252"/>
      <c r="Z29" s="2252"/>
      <c r="AA29" s="2252"/>
      <c r="AB29" s="2252"/>
      <c r="AC29" s="327"/>
      <c r="AD29" s="2252" t="str">
        <f>IF(TITLE_NAME_OR_PR_CHANGE="",IF(TITLE_NAME_OR_PR="","",TITLE_NAME_OR_PR),TITLE_NAME_OR_PR_CHANGE)</f>
        <v/>
      </c>
      <c r="AE29" s="2252"/>
      <c r="AF29" s="2252"/>
      <c r="AG29" s="2252"/>
      <c r="AH29" s="2252"/>
      <c r="AI29" s="2252"/>
      <c r="AJ29" s="2252"/>
      <c r="AK29" s="327"/>
      <c r="AL29" s="327"/>
      <c r="AM29" s="281"/>
      <c r="AN29" s="369"/>
      <c r="AO29" s="369"/>
      <c r="AP29" s="369"/>
      <c r="AQ29" s="369"/>
      <c r="AR29" s="369"/>
      <c r="AS29" s="419">
        <v>0</v>
      </c>
    </row>
    <row s="1854" customFormat="1" customHeight="1" ht="18.75" hidden="1">
      <c r="A30" s="1369"/>
      <c r="B30" s="1369"/>
      <c r="C30" s="1369"/>
      <c r="D30" s="1369"/>
      <c r="E30" s="1369"/>
      <c r="F30" s="1369"/>
      <c r="G30" s="1369"/>
      <c r="H30" s="1369"/>
      <c r="I30" s="1369"/>
      <c r="J30" s="1369"/>
      <c r="K30" s="1369"/>
      <c r="L30" s="1370"/>
      <c r="M30" s="1369"/>
      <c r="N30" s="1369"/>
      <c r="O30" s="1369"/>
      <c r="S30" s="2251" t="s">
        <v>437</v>
      </c>
      <c r="T30" s="2251"/>
      <c r="U30" s="1373"/>
      <c r="V30" s="2265" t="str">
        <f>IF(TITLE_DATE_PR_CHANGE="",IF(TITLE_DATE_PR="","",TITLE_DATE_PR),TITLE_DATE_PR_CHANGE)</f>
        <v>46142</v>
      </c>
      <c r="W30" s="2265"/>
      <c r="X30" s="2265"/>
      <c r="Y30" s="2265"/>
      <c r="Z30" s="2265"/>
      <c r="AA30" s="2265"/>
      <c r="AB30" s="2265"/>
      <c r="AC30" s="327"/>
      <c r="AD30" s="2265" t="str">
        <f>IF(TITLE_DATE_PR_CHANGE="",IF(TITLE_DATE_PR="","",TITLE_DATE_PR),TITLE_DATE_PR_CHANGE)</f>
        <v>46142</v>
      </c>
      <c r="AE30" s="2265"/>
      <c r="AF30" s="2265"/>
      <c r="AG30" s="2265"/>
      <c r="AH30" s="2265"/>
      <c r="AI30" s="2265"/>
      <c r="AJ30" s="2265"/>
      <c r="AK30" s="327"/>
      <c r="AL30" s="327"/>
      <c r="AM30" s="281"/>
      <c r="AN30" s="369"/>
      <c r="AO30" s="369"/>
      <c r="AP30" s="369"/>
      <c r="AQ30" s="369"/>
      <c r="AR30" s="369"/>
      <c r="AS30" s="419">
        <v>0</v>
      </c>
    </row>
    <row s="1854" customFormat="1" customHeight="1" ht="18.75" hidden="1">
      <c r="A31" s="1369"/>
      <c r="B31" s="1369"/>
      <c r="C31" s="1369"/>
      <c r="D31" s="1369"/>
      <c r="E31" s="1369"/>
      <c r="F31" s="1369"/>
      <c r="G31" s="1369"/>
      <c r="H31" s="1369"/>
      <c r="I31" s="1369"/>
      <c r="J31" s="1369"/>
      <c r="K31" s="1369"/>
      <c r="L31" s="1370"/>
      <c r="M31" s="1369"/>
      <c r="N31" s="1369"/>
      <c r="O31" s="1369"/>
      <c r="S31" s="2251" t="s">
        <v>438</v>
      </c>
      <c r="T31" s="2251"/>
      <c r="U31" s="1373"/>
      <c r="V31" s="2252" t="str">
        <f>IF(TITLE_NUMBER_PR_CHANGE="",IF(TITLE_NUMBER_PR="","",TITLE_NUMBER_PR),TITLE_NUMBER_PR_CHANGE)</f>
        <v>206Т</v>
      </c>
      <c r="W31" s="2252"/>
      <c r="X31" s="2252"/>
      <c r="Y31" s="2252"/>
      <c r="Z31" s="2252"/>
      <c r="AA31" s="2252"/>
      <c r="AB31" s="2252"/>
      <c r="AC31" s="327"/>
      <c r="AD31" s="2252" t="str">
        <f>IF(TITLE_NUMBER_PR_CHANGE="",IF(TITLE_NUMBER_PR="","",TITLE_NUMBER_PR),TITLE_NUMBER_PR_CHANGE)</f>
        <v>206Т</v>
      </c>
      <c r="AE31" s="2252"/>
      <c r="AF31" s="2252"/>
      <c r="AG31" s="2252"/>
      <c r="AH31" s="2252"/>
      <c r="AI31" s="2252"/>
      <c r="AJ31" s="2252"/>
      <c r="AK31" s="327"/>
      <c r="AL31" s="327"/>
      <c r="AM31" s="281"/>
      <c r="AN31" s="369"/>
      <c r="AO31" s="369"/>
      <c r="AP31" s="369"/>
      <c r="AQ31" s="369"/>
      <c r="AR31" s="369"/>
      <c r="AS31" s="419">
        <v>0</v>
      </c>
    </row>
    <row s="1854" customFormat="1" customHeight="1" ht="18.75" hidden="1">
      <c r="A32" s="1369"/>
      <c r="B32" s="1369"/>
      <c r="C32" s="1369"/>
      <c r="D32" s="1369"/>
      <c r="E32" s="1369"/>
      <c r="F32" s="1369"/>
      <c r="G32" s="1369"/>
      <c r="H32" s="1369"/>
      <c r="I32" s="1369"/>
      <c r="J32" s="1369"/>
      <c r="K32" s="1369"/>
      <c r="L32" s="1370"/>
      <c r="M32" s="1369"/>
      <c r="N32" s="1369"/>
      <c r="O32" s="1369"/>
      <c r="S32" s="2251" t="s">
        <v>43</v>
      </c>
      <c r="T32" s="2251"/>
      <c r="U32" s="1373"/>
      <c r="V32" s="2252" t="str">
        <f>IF(TITLE_IST_PUB_CHANGE="",IF(TITLE_IST_PUB="","",TITLE_IST_PUB),TITLE_IST_PUB_CHANGE)</f>
        <v/>
      </c>
      <c r="W32" s="2252"/>
      <c r="X32" s="2252"/>
      <c r="Y32" s="2252"/>
      <c r="Z32" s="2252"/>
      <c r="AA32" s="2252"/>
      <c r="AB32" s="2252"/>
      <c r="AC32" s="327"/>
      <c r="AD32" s="2252" t="str">
        <f>IF(TITLE_IST_PUB_CHANGE="",IF(TITLE_IST_PUB="","",TITLE_IST_PUB),TITLE_IST_PUB_CHANGE)</f>
        <v/>
      </c>
      <c r="AE32" s="2252"/>
      <c r="AF32" s="2252"/>
      <c r="AG32" s="2252"/>
      <c r="AH32" s="2252"/>
      <c r="AI32" s="2252"/>
      <c r="AJ32" s="2252"/>
      <c r="AK32" s="327"/>
      <c r="AL32" s="327"/>
      <c r="AM32" s="281"/>
      <c r="AN32" s="369"/>
      <c r="AO32" s="369"/>
      <c r="AP32" s="369"/>
      <c r="AQ32" s="369"/>
      <c r="AR32" s="369"/>
      <c r="AS32" s="419">
        <v>0</v>
      </c>
    </row>
    <row customHeight="1" ht="14.25">
      <c r="P33" s="1329"/>
      <c r="Q33" s="377"/>
      <c r="R33" s="377"/>
      <c r="S33" s="1276"/>
      <c r="T33" s="364"/>
      <c r="U33" s="364"/>
      <c r="V33" s="323"/>
      <c r="W33" s="323"/>
      <c r="X33" s="323"/>
      <c r="Y33" s="323"/>
      <c r="Z33" s="323"/>
      <c r="AA33" s="323"/>
      <c r="AB33" s="323"/>
      <c r="AC33" s="323"/>
      <c r="AD33" s="323"/>
      <c r="AE33" s="323"/>
      <c r="AF33" s="323"/>
      <c r="AG33" s="323"/>
      <c r="AH33" s="323"/>
      <c r="AI33" s="323"/>
      <c r="AJ33" s="323"/>
      <c r="AK33" s="323"/>
      <c r="AL33" s="510"/>
      <c r="AS33" s="1156">
        <v>0</v>
      </c>
    </row>
    <row s="1854" customFormat="1" customHeight="1" ht="18.75">
      <c r="A34" s="1369"/>
      <c r="B34" s="1369"/>
      <c r="C34" s="1369"/>
      <c r="D34" s="1369"/>
      <c r="E34" s="1369"/>
      <c r="F34" s="1369"/>
      <c r="G34" s="1369"/>
      <c r="H34" s="1369"/>
      <c r="I34" s="1369"/>
      <c r="J34" s="1369"/>
      <c r="K34" s="1369"/>
      <c r="L34" s="1370"/>
      <c r="M34" s="1369"/>
      <c r="N34" s="1369"/>
      <c r="O34" s="1369"/>
      <c r="S34" s="2251" t="s">
        <v>439</v>
      </c>
      <c r="T34" s="2251"/>
      <c r="U34" s="1373"/>
      <c r="V34" s="2265" t="str">
        <f>IF(TITLE_DATE_PR_CHANGE="",IF(TITLE_DATE_PR="","",TITLE_DATE_PR),TITLE_DATE_PR_CHANGE)</f>
        <v>46142</v>
      </c>
      <c r="W34" s="2265"/>
      <c r="X34" s="2265"/>
      <c r="Y34" s="2265"/>
      <c r="Z34" s="2265"/>
      <c r="AA34" s="2265"/>
      <c r="AB34" s="2265"/>
      <c r="AC34" s="327"/>
      <c r="AD34" s="2265" t="str">
        <f>IF(TITLE_DATE_PR_CHANGE="",IF(TITLE_DATE_PR="","",TITLE_DATE_PR),TITLE_DATE_PR_CHANGE)</f>
        <v>46142</v>
      </c>
      <c r="AE34" s="2265"/>
      <c r="AF34" s="2265"/>
      <c r="AG34" s="2265"/>
      <c r="AH34" s="2265"/>
      <c r="AI34" s="2265"/>
      <c r="AJ34" s="2265"/>
      <c r="AK34" s="327"/>
      <c r="AL34" s="327"/>
      <c r="AM34" s="281"/>
      <c r="AN34" s="369"/>
      <c r="AO34" s="369"/>
      <c r="AP34" s="369"/>
      <c r="AQ34" s="369"/>
      <c r="AR34" s="369"/>
      <c r="AS34" s="419">
        <v>0</v>
      </c>
    </row>
    <row s="1854" customFormat="1" customHeight="1" ht="18.75">
      <c r="A35" s="1369"/>
      <c r="B35" s="1369"/>
      <c r="C35" s="1369"/>
      <c r="D35" s="1369"/>
      <c r="E35" s="1369"/>
      <c r="F35" s="1369"/>
      <c r="G35" s="1369"/>
      <c r="H35" s="1369"/>
      <c r="I35" s="1369"/>
      <c r="J35" s="1369"/>
      <c r="K35" s="1369"/>
      <c r="L35" s="1370"/>
      <c r="M35" s="1369"/>
      <c r="N35" s="1369"/>
      <c r="O35" s="1369"/>
      <c r="S35" s="2251" t="s">
        <v>440</v>
      </c>
      <c r="T35" s="2251"/>
      <c r="U35" s="1373"/>
      <c r="V35" s="2252" t="str">
        <f>IF(TITLE_NUMBER_PR_CHANGE="",IF(TITLE_NUMBER_PR="","",TITLE_NUMBER_PR),TITLE_NUMBER_PR_CHANGE)</f>
        <v>206Т</v>
      </c>
      <c r="W35" s="2252"/>
      <c r="X35" s="2252"/>
      <c r="Y35" s="2252"/>
      <c r="Z35" s="2252"/>
      <c r="AA35" s="2252"/>
      <c r="AB35" s="2252"/>
      <c r="AC35" s="327"/>
      <c r="AD35" s="2252" t="str">
        <f>IF(TITLE_NUMBER_PR_CHANGE="",IF(TITLE_NUMBER_PR="","",TITLE_NUMBER_PR),TITLE_NUMBER_PR_CHANGE)</f>
        <v>206Т</v>
      </c>
      <c r="AE35" s="2252"/>
      <c r="AF35" s="2252"/>
      <c r="AG35" s="2252"/>
      <c r="AH35" s="2252"/>
      <c r="AI35" s="2252"/>
      <c r="AJ35" s="2252"/>
      <c r="AK35" s="327"/>
      <c r="AL35" s="327"/>
      <c r="AM35" s="281"/>
      <c r="AN35" s="369"/>
      <c r="AO35" s="369"/>
      <c r="AP35" s="369"/>
      <c r="AQ35" s="369"/>
      <c r="AR35" s="369"/>
      <c r="AS35" s="419">
        <v>0</v>
      </c>
    </row>
    <row s="1854" customFormat="1" customHeight="1" ht="0">
      <c r="A36" s="1369"/>
      <c r="B36" s="1369"/>
      <c r="C36" s="1369"/>
      <c r="D36" s="1369"/>
      <c r="E36" s="1369"/>
      <c r="F36" s="1369"/>
      <c r="G36" s="1369"/>
      <c r="H36" s="1369"/>
      <c r="I36" s="1369"/>
      <c r="J36" s="1369"/>
      <c r="K36" s="1369"/>
      <c r="L36" s="1370"/>
      <c r="M36" s="1369"/>
      <c r="N36" s="1369"/>
      <c r="O36" s="1369"/>
      <c r="S36" s="324"/>
      <c r="T36" s="324"/>
      <c r="U36" s="1220"/>
      <c r="V36" s="327"/>
      <c r="W36" s="327"/>
      <c r="X36" s="327"/>
      <c r="Y36" s="327"/>
      <c r="Z36" s="327"/>
      <c r="AA36" s="327"/>
      <c r="AB36" s="327"/>
      <c r="AC36" s="279" t="s">
        <v>441</v>
      </c>
      <c r="AD36" s="327"/>
      <c r="AE36" s="327"/>
      <c r="AF36" s="327"/>
      <c r="AG36" s="327"/>
      <c r="AH36" s="327"/>
      <c r="AI36" s="327"/>
      <c r="AJ36" s="327"/>
      <c r="AK36" s="279" t="s">
        <v>441</v>
      </c>
      <c r="AN36" s="369"/>
      <c r="AO36" s="369"/>
      <c r="AP36" s="369"/>
      <c r="AQ36" s="369"/>
      <c r="AR36" s="369"/>
      <c r="AS36" s="419">
        <v>0</v>
      </c>
    </row>
    <row customHeight="1" ht="14.699999999999998">
      <c r="Q37" s="377"/>
      <c r="R37" s="377"/>
      <c r="S37" s="1276"/>
      <c r="T37" s="364"/>
      <c r="U37" s="1245"/>
      <c r="V37" s="2253"/>
      <c r="W37" s="2253"/>
      <c r="X37" s="2253"/>
      <c r="Y37" s="2253"/>
      <c r="Z37" s="2253"/>
      <c r="AA37" s="2253"/>
      <c r="AB37" s="2253"/>
      <c r="AC37" s="2253"/>
      <c r="AD37" s="2253"/>
      <c r="AE37" s="2253"/>
      <c r="AF37" s="2253"/>
      <c r="AG37" s="2253"/>
      <c r="AH37" s="2253"/>
      <c r="AI37" s="2253"/>
      <c r="AJ37" s="2253"/>
      <c r="AK37" s="2253"/>
      <c r="AS37" s="1156">
        <v>14</v>
      </c>
    </row>
    <row customHeight="1" ht="14.699999999999998">
      <c r="Q38" s="377"/>
      <c r="R38" s="377"/>
      <c r="S38" s="2128" t="s">
        <v>317</v>
      </c>
      <c r="T38" s="2128"/>
      <c r="U38" s="2128"/>
      <c r="V38" s="2128"/>
      <c r="W38" s="2128"/>
      <c r="X38" s="2128"/>
      <c r="Y38" s="2128"/>
      <c r="Z38" s="2128"/>
      <c r="AA38" s="2128"/>
      <c r="AB38" s="2128"/>
      <c r="AC38" s="2128"/>
      <c r="AD38" s="2128"/>
      <c r="AE38" s="2128"/>
      <c r="AF38" s="2128"/>
      <c r="AG38" s="2128"/>
      <c r="AH38" s="2128"/>
      <c r="AI38" s="2128"/>
      <c r="AJ38" s="2128"/>
      <c r="AK38" s="2128"/>
      <c r="AL38" s="2128"/>
      <c r="AM38" s="2128" t="s">
        <v>318</v>
      </c>
      <c r="AS38" s="1156">
        <v>14</v>
      </c>
    </row>
    <row customHeight="1" ht="14.699999999999998">
      <c r="Q39" s="377"/>
      <c r="R39" s="377"/>
      <c r="S39" s="2274" t="s">
        <v>89</v>
      </c>
      <c r="T39" s="2210" t="s">
        <v>442</v>
      </c>
      <c r="U39" s="302"/>
      <c r="V39" s="2275" t="s">
        <v>443</v>
      </c>
      <c r="W39" s="2276"/>
      <c r="X39" s="2276"/>
      <c r="Y39" s="2276"/>
      <c r="Z39" s="2276"/>
      <c r="AA39" s="2276"/>
      <c r="AB39" s="2277"/>
      <c r="AC39" s="2278" t="s">
        <v>444</v>
      </c>
      <c r="AD39" s="2275" t="s">
        <v>443</v>
      </c>
      <c r="AE39" s="2276"/>
      <c r="AF39" s="2276"/>
      <c r="AG39" s="2276"/>
      <c r="AH39" s="2276"/>
      <c r="AI39" s="2276"/>
      <c r="AJ39" s="2277"/>
      <c r="AK39" s="2278" t="s">
        <v>445</v>
      </c>
      <c r="AL39" s="2281" t="s">
        <v>446</v>
      </c>
      <c r="AM39" s="2128"/>
      <c r="AS39" s="1156">
        <v>14</v>
      </c>
    </row>
    <row customHeight="1" ht="35.699999999999996">
      <c r="Q40" s="377"/>
      <c r="R40" s="377"/>
      <c r="S40" s="2274"/>
      <c r="T40" s="2210"/>
      <c r="U40" s="1032"/>
      <c r="V40" s="2261" t="s">
        <v>447</v>
      </c>
      <c r="W40" s="2611" t="s">
        <v>448</v>
      </c>
      <c r="X40" s="2263" t="s">
        <v>449</v>
      </c>
      <c r="Y40" s="2264"/>
      <c r="Z40" s="2263" t="s">
        <v>450</v>
      </c>
      <c r="AA40" s="2270"/>
      <c r="AB40" s="2264"/>
      <c r="AC40" s="2279"/>
      <c r="AD40" s="2261" t="s">
        <v>447</v>
      </c>
      <c r="AE40" s="2284" t="s">
        <v>448</v>
      </c>
      <c r="AF40" s="2263" t="s">
        <v>449</v>
      </c>
      <c r="AG40" s="2264"/>
      <c r="AH40" s="2263" t="s">
        <v>450</v>
      </c>
      <c r="AI40" s="2270"/>
      <c r="AJ40" s="2264"/>
      <c r="AK40" s="2279"/>
      <c r="AL40" s="2282"/>
      <c r="AM40" s="2128"/>
      <c r="AS40" s="1156">
        <v>34</v>
      </c>
    </row>
    <row customHeight="1" ht="35.699999999999996">
      <c r="A41" s="1371"/>
      <c r="B41" s="1371" t="s">
        <v>143</v>
      </c>
      <c r="C41" s="1371" t="s">
        <v>144</v>
      </c>
      <c r="D41" s="1371" t="s">
        <v>145</v>
      </c>
      <c r="E41" s="1365" t="s">
        <v>451</v>
      </c>
      <c r="F41" s="1365" t="s">
        <v>452</v>
      </c>
      <c r="G41" s="1365" t="s">
        <v>453</v>
      </c>
      <c r="H41" s="1365" t="s">
        <v>454</v>
      </c>
      <c r="I41" s="1365" t="s">
        <v>455</v>
      </c>
      <c r="J41" s="1365" t="s">
        <v>456</v>
      </c>
      <c r="K41" s="1365" t="s">
        <v>457</v>
      </c>
      <c r="L41" s="1365" t="s">
        <v>432</v>
      </c>
      <c r="Q41" s="377"/>
      <c r="R41" s="377"/>
      <c r="S41" s="2274"/>
      <c r="T41" s="2210"/>
      <c r="U41" s="303"/>
      <c r="V41" s="2262"/>
      <c r="W41" s="2285"/>
      <c r="X41" s="1223" t="s">
        <v>458</v>
      </c>
      <c r="Y41" s="1223" t="s">
        <v>459</v>
      </c>
      <c r="Z41" s="1222" t="s">
        <v>460</v>
      </c>
      <c r="AA41" s="2271" t="s">
        <v>461</v>
      </c>
      <c r="AB41" s="2272"/>
      <c r="AC41" s="2280"/>
      <c r="AD41" s="2262"/>
      <c r="AE41" s="2285"/>
      <c r="AF41" s="1223" t="s">
        <v>458</v>
      </c>
      <c r="AG41" s="1223" t="s">
        <v>459</v>
      </c>
      <c r="AH41" s="1314" t="s">
        <v>460</v>
      </c>
      <c r="AI41" s="2271" t="s">
        <v>461</v>
      </c>
      <c r="AJ41" s="2272"/>
      <c r="AK41" s="2280"/>
      <c r="AL41" s="2283"/>
      <c r="AM41" s="2128"/>
      <c r="AS41" s="1156">
        <v>34</v>
      </c>
    </row>
    <row s="1642" customFormat="1" customHeight="1" ht="11.25" hidden="1">
      <c r="A42" s="1371"/>
      <c r="B42" s="1371"/>
      <c r="C42" s="1371"/>
      <c r="D42" s="1371"/>
      <c r="E42" s="1371"/>
      <c r="F42" s="1371"/>
      <c r="G42" s="1371"/>
      <c r="H42" s="1371"/>
      <c r="I42" s="1371"/>
      <c r="J42" s="1371"/>
      <c r="K42" s="1371"/>
      <c r="L42" s="1365"/>
      <c r="M42" s="1363"/>
      <c r="N42" s="1363"/>
      <c r="O42" s="1363"/>
      <c r="P42" s="1247"/>
      <c r="Q42" s="1248"/>
      <c r="R42" s="1255">
        <v>1</v>
      </c>
      <c r="S42" s="1278" t="s">
        <v>118</v>
      </c>
      <c r="T42" s="1256" t="s">
        <v>103</v>
      </c>
      <c r="U42" s="1246" t="str">
        <f>OFFSET(U42,0,-1)</f>
        <v>2</v>
      </c>
      <c r="V42" s="1257">
        <f>OFFSET(V42,0,-1)+1</f>
        <v>3</v>
      </c>
      <c r="W42" s="1257"/>
      <c r="X42" s="1257">
        <f>OFFSET(X42,0,-1)+1</f>
        <v>1</v>
      </c>
      <c r="Y42" s="1257">
        <f>OFFSET(Y42,0,-1)+1</f>
        <v>2</v>
      </c>
      <c r="Z42" s="1257">
        <f>OFFSET(Z42,0,-1)+1</f>
        <v>3</v>
      </c>
      <c r="AA42" s="2273">
        <f>OFFSET(AA42,0,-1)+1</f>
        <v>4</v>
      </c>
      <c r="AB42" s="2273"/>
      <c r="AC42" s="1257">
        <f>OFFSET(AC42,0,-2)+1</f>
        <v>5</v>
      </c>
      <c r="AD42" s="1313">
        <f>OFFSET(AD42,0,-1)+1</f>
        <v>6</v>
      </c>
      <c r="AE42" s="1313"/>
      <c r="AF42" s="1313">
        <f>OFFSET(AF42,0,-1)+1</f>
        <v>1</v>
      </c>
      <c r="AG42" s="1313">
        <f>OFFSET(AG42,0,-1)+1</f>
        <v>2</v>
      </c>
      <c r="AH42" s="1313">
        <f>OFFSET(AH42,0,-1)+1</f>
        <v>3</v>
      </c>
      <c r="AI42" s="2273">
        <f>OFFSET(AI42,0,-1)+1</f>
        <v>4</v>
      </c>
      <c r="AJ42" s="2273"/>
      <c r="AK42" s="1313">
        <f>OFFSET(AK42,0,-2)+1</f>
        <v>5</v>
      </c>
      <c r="AL42" s="1246">
        <f>OFFSET(AL42,0,-1)</f>
        <v>5</v>
      </c>
      <c r="AM42" s="1257">
        <f>OFFSET(AM42,0,-1)+1</f>
        <v>6</v>
      </c>
      <c r="AN42" s="512"/>
      <c r="AO42" s="512"/>
      <c r="AP42" s="512"/>
      <c r="AQ42" s="512"/>
      <c r="AR42" s="512"/>
      <c r="AS42" s="497">
        <v>0</v>
      </c>
    </row>
    <row customHeight="1" ht="24">
      <c r="A43" s="1364" t="s">
        <v>164</v>
      </c>
      <c r="B43" s="1364"/>
      <c r="C43" s="1364"/>
      <c r="D43" s="1364"/>
      <c r="E43" s="2259">
        <v>1</v>
      </c>
      <c r="F43" s="1364"/>
      <c r="G43" s="1364"/>
      <c r="H43" s="1364"/>
      <c r="I43" s="1364"/>
      <c r="J43" s="1364"/>
      <c r="K43" s="1364"/>
      <c r="L43" s="1365"/>
      <c r="M43" s="1366"/>
      <c r="N43" s="1366"/>
      <c r="O43" s="1366"/>
      <c r="P43" s="362"/>
      <c r="Q43" s="361"/>
      <c r="R43" s="356"/>
      <c r="S43" s="1225">
        <f>INDEX(PT_DIFFERENTIATION_NUM_NTAR,MATCH(A43,PT_DIFFERENTIATION_NTAR_ID,0))</f>
        <v>0</v>
      </c>
      <c r="T43" s="299" t="s">
        <v>131</v>
      </c>
      <c r="U43" s="301"/>
      <c r="V43" s="2243"/>
      <c r="W43" s="2244"/>
      <c r="X43" s="2244"/>
      <c r="Y43" s="2244"/>
      <c r="Z43" s="2244"/>
      <c r="AA43" s="2244"/>
      <c r="AB43" s="2244"/>
      <c r="AC43" s="2245"/>
      <c r="AD43" s="2243" t="str">
        <f>INDEX(PT_DIFFERENTIATION_NTAR,MATCH(A43,PT_DIFFERENTIATION_NTAR_ID,0))</f>
        <v/>
      </c>
      <c r="AE43" s="2244"/>
      <c r="AF43" s="2244"/>
      <c r="AG43" s="2244"/>
      <c r="AH43" s="2244"/>
      <c r="AI43" s="2244"/>
      <c r="AJ43" s="2244"/>
      <c r="AK43" s="2244"/>
      <c r="AL43" s="2245"/>
      <c r="AM43" s="1259" t="str">
        <f>IF(TEMPLATE_GROUP="P","По данной форме раскрывается в том числе информация об индикативном предельном уровне цены на тепловую энергию (мощность), который определен в соответствии с Правилами определения в ценовых зонах теплоснабжения предельного уровня "&amp;"цены на тепловую энергию (мощность), включая правила индексации предельного уровня цены на тепловую энергию (мощность), "&amp;"утвержденными постановлением Правительства Российской Федерации от 15 декабря 2017 г. N 1562 (далее - Правила), о графике поэтапного равномерного доведения предельного уровня цены на тепловую энергию (мощность) до уровня, "&amp;"определяемого в соответствии с указанными "&amp;"Правилами, а также информация о тарифах на товары (услуги) в сфере теплоснабжения в случаях, указанных частях 12 1 - 12 4 статьи 10 Федерального закона от 27 июля 2010 г. N 190-ФЗ ""О теплоснабжении"", "&amp;"теплоснабжающей организации, теплосетевой организации в ценовых зонах теплоснабжения. Для каждого вида тарифа в сфере теплоснабжения форма заполняется отдельно."&amp;"
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"&amp;"об установлении цены (тарифа), источник официального опубликования решения об установлении цены (тарифа) в сфере теплоснабжения.","Для каждого вида тарифа в сфере теплоснабжения форма заполняется отдельно.
"&amp;"В соответствии с данной формой раскрывается информация о расчетной величине тарифов в сфере теплоснабжения на товары (услуги) в случаях, указанных в частях 12 1 - 12 4 статьи 10 Федерального закона от 27 июля 2010 г. N 190-ФЗ ""О теплоснабжении"". "&amp;"Указывается наименование тарифа в случае "&amp;IF(TEMPLATE_GROUP="P","утверждения","предложения")&amp;" нескольких тарифов.
В случае наличия нескольких тарифов информация по ним указывается в отдельных строках.")</f>
        <v>Для каждого вида тарифа в сфере теплоснабжения форма заполняется отдельно.
В соответствии с данной формой раскрывается информация о расчетной величине тарифов в сфере теплоснабжения на товары (услуги) в случаях, указанных в частях 12 1 - 12 4 статьи 10 Федерального закона от 27 июля 2010 г. N 190-ФЗ "О теплоснабжении". Указывается наименование тарифа в случае предложения нескольких тарифов.
В случае наличия нескольких тарифов информация по ним указывается в отдельных строках.</v>
      </c>
      <c r="AO43" s="501"/>
      <c r="AP43" s="501" t="str">
        <f>IF(T43="","",T43)</f>
        <v>Наименование тарифа</v>
      </c>
      <c r="AQ43" s="501"/>
      <c r="AR43" s="501"/>
      <c r="AS43" s="1156">
        <v>23</v>
      </c>
    </row>
    <row customHeight="1" ht="24">
      <c r="A44" s="1364" t="s">
        <v>164</v>
      </c>
      <c r="B44" s="1364" t="s">
        <v>165</v>
      </c>
      <c r="C44" s="1364"/>
      <c r="D44" s="1364"/>
      <c r="E44" s="2260"/>
      <c r="F44" s="2259">
        <v>1</v>
      </c>
      <c r="G44" s="1364"/>
      <c r="H44" s="1364"/>
      <c r="I44" s="1364"/>
      <c r="J44" s="1364"/>
      <c r="K44" s="1364"/>
      <c r="L44" s="1365"/>
      <c r="M44" s="1366"/>
      <c r="N44" s="1366"/>
      <c r="O44" s="1366"/>
      <c r="P44" s="523"/>
      <c r="Q44" s="353"/>
      <c r="R44" s="354"/>
      <c r="S44" s="1225" t="str">
        <f>INDEX(PT_DIFFERENTIATION_NUM_TER,MATCH(B44,PT_DIFFERENTIATION_TER_ID,0))</f>
        <v>.</v>
      </c>
      <c r="T44" s="309" t="s">
        <v>414</v>
      </c>
      <c r="U44" s="301"/>
      <c r="V44" s="2243"/>
      <c r="W44" s="2244"/>
      <c r="X44" s="2244"/>
      <c r="Y44" s="2244"/>
      <c r="Z44" s="2244"/>
      <c r="AA44" s="2244"/>
      <c r="AB44" s="2244"/>
      <c r="AC44" s="2245"/>
      <c r="AD44" s="2243" t="str">
        <f>INDEX(PT_DIFFERENTIATION_TER,MATCH(B44,PT_DIFFERENTIATION_TER_ID,0))</f>
        <v/>
      </c>
      <c r="AE44" s="2244"/>
      <c r="AF44" s="2244"/>
      <c r="AG44" s="2244"/>
      <c r="AH44" s="2244"/>
      <c r="AI44" s="2244"/>
      <c r="AJ44" s="2244"/>
      <c r="AK44" s="2244"/>
      <c r="AL44" s="2245"/>
      <c r="AM44" s="1259" t="s">
        <v>415</v>
      </c>
      <c r="AO44" s="501"/>
      <c r="AP44" s="501" t="str">
        <f>IF(T44="","",T44)</f>
        <v>Территория действия тарифа</v>
      </c>
      <c r="AQ44" s="501"/>
      <c r="AR44" s="501"/>
      <c r="AS44" s="1156">
        <v>23</v>
      </c>
    </row>
    <row customHeight="1" ht="24">
      <c r="A45" s="1364" t="s">
        <v>164</v>
      </c>
      <c r="B45" s="1364" t="s">
        <v>165</v>
      </c>
      <c r="C45" s="1364" t="s">
        <v>166</v>
      </c>
      <c r="D45" s="1364"/>
      <c r="E45" s="2260"/>
      <c r="F45" s="2260"/>
      <c r="G45" s="2259">
        <v>1</v>
      </c>
      <c r="H45" s="1364"/>
      <c r="I45" s="1364"/>
      <c r="J45" s="1364"/>
      <c r="K45" s="1364"/>
      <c r="L45" s="1365"/>
      <c r="M45" s="1366"/>
      <c r="N45" s="1366"/>
      <c r="O45" s="1366"/>
      <c r="P45" s="355"/>
      <c r="Q45" s="353"/>
      <c r="R45" s="354"/>
      <c r="S45" s="1225" t="str">
        <f>INDEX(PT_DIFFERENTIATION_NUM_CS,MATCH(C45,PT_DIFFERENTIATION_CS_ID,0))</f>
        <v>..</v>
      </c>
      <c r="T45" s="310" t="s">
        <v>416</v>
      </c>
      <c r="U45" s="301"/>
      <c r="V45" s="2243"/>
      <c r="W45" s="2244"/>
      <c r="X45" s="2244"/>
      <c r="Y45" s="2244"/>
      <c r="Z45" s="2244"/>
      <c r="AA45" s="2244"/>
      <c r="AB45" s="2244"/>
      <c r="AC45" s="2245"/>
      <c r="AD45" s="2243" t="str">
        <f>INDEX(PT_DIFFERENTIATION_CS,MATCH(C45,PT_DIFFERENTIATION_CS_ID,0))</f>
        <v/>
      </c>
      <c r="AE45" s="2244"/>
      <c r="AF45" s="2244"/>
      <c r="AG45" s="2244"/>
      <c r="AH45" s="2244"/>
      <c r="AI45" s="2244"/>
      <c r="AJ45" s="2244"/>
      <c r="AK45" s="2244"/>
      <c r="AL45" s="2245"/>
      <c r="AM45" s="1259" t="s">
        <v>417</v>
      </c>
      <c r="AO45" s="501"/>
      <c r="AP45" s="501" t="str">
        <f>IF(T45="","",T45)</f>
        <v>Наименование системы теплоснабжения </v>
      </c>
      <c r="AQ45" s="501"/>
      <c r="AR45" s="501"/>
      <c r="AS45" s="1156">
        <v>23</v>
      </c>
    </row>
    <row customHeight="1" ht="24">
      <c r="A46" s="1364" t="s">
        <v>164</v>
      </c>
      <c r="B46" s="1364" t="s">
        <v>165</v>
      </c>
      <c r="C46" s="1364" t="s">
        <v>166</v>
      </c>
      <c r="D46" s="1364" t="s">
        <v>167</v>
      </c>
      <c r="E46" s="2260"/>
      <c r="F46" s="2260"/>
      <c r="G46" s="2260"/>
      <c r="H46" s="2259">
        <v>1</v>
      </c>
      <c r="I46" s="1364"/>
      <c r="J46" s="1364"/>
      <c r="K46" s="1364"/>
      <c r="L46" s="1365"/>
      <c r="M46" s="1366"/>
      <c r="N46" s="1366"/>
      <c r="O46" s="1366"/>
      <c r="P46" s="355"/>
      <c r="Q46" s="353"/>
      <c r="R46" s="354"/>
      <c r="S46" s="1225" t="str">
        <f>INDEX(PT_DIFFERENTIATION_NUM_IST_TE,MATCH(D46,PT_DIFFERENTIATION_IST_TE_ID,0))</f>
        <v>...</v>
      </c>
      <c r="T46" s="311" t="s">
        <v>418</v>
      </c>
      <c r="U46" s="301"/>
      <c r="V46" s="2243"/>
      <c r="W46" s="2244"/>
      <c r="X46" s="2244"/>
      <c r="Y46" s="2244"/>
      <c r="Z46" s="2244"/>
      <c r="AA46" s="2244"/>
      <c r="AB46" s="2244"/>
      <c r="AC46" s="2245"/>
      <c r="AD46" s="2243" t="str">
        <f>INDEX(PT_DIFFERENTIATION_IST_TE,MATCH(D46,PT_DIFFERENTIATION_IST_TE_ID,0))</f>
        <v/>
      </c>
      <c r="AE46" s="2244"/>
      <c r="AF46" s="2244"/>
      <c r="AG46" s="2244"/>
      <c r="AH46" s="2244"/>
      <c r="AI46" s="2244"/>
      <c r="AJ46" s="2244"/>
      <c r="AK46" s="2244"/>
      <c r="AL46" s="2245"/>
      <c r="AM46" s="1259" t="s">
        <v>419</v>
      </c>
      <c r="AO46" s="501"/>
      <c r="AP46" s="501" t="str">
        <f>IF(T46="","",T46)</f>
        <v>Источник тепловой энергии  </v>
      </c>
      <c r="AQ46" s="501"/>
      <c r="AR46" s="501"/>
      <c r="AS46" s="1156">
        <v>23</v>
      </c>
    </row>
    <row customHeight="1" ht="49.5">
      <c r="A47" s="1364" t="s">
        <v>164</v>
      </c>
      <c r="B47" s="1364" t="s">
        <v>165</v>
      </c>
      <c r="C47" s="1364" t="s">
        <v>166</v>
      </c>
      <c r="D47" s="1364" t="s">
        <v>167</v>
      </c>
      <c r="E47" s="2260"/>
      <c r="F47" s="2260"/>
      <c r="G47" s="2260"/>
      <c r="H47" s="2260"/>
      <c r="I47" s="2257" t="str">
        <f>S46&amp;".1"</f>
        <v>....1</v>
      </c>
      <c r="J47" s="1364"/>
      <c r="K47" s="1364"/>
      <c r="L47" s="1365" t="s">
        <v>420</v>
      </c>
      <c r="P47" s="2258">
        <v>1</v>
      </c>
      <c r="Q47" s="1221"/>
      <c r="R47" s="357"/>
      <c r="S47" s="1225" t="str">
        <f>$I47</f>
        <v>....1</v>
      </c>
      <c r="T47" s="286" t="s">
        <v>421</v>
      </c>
      <c r="U47" s="301"/>
      <c r="V47" s="2246"/>
      <c r="W47" s="2247"/>
      <c r="X47" s="2247"/>
      <c r="Y47" s="2247"/>
      <c r="Z47" s="2247"/>
      <c r="AA47" s="2247"/>
      <c r="AB47" s="2247"/>
      <c r="AC47" s="2248"/>
      <c r="AD47" s="2246"/>
      <c r="AE47" s="2247"/>
      <c r="AF47" s="2247"/>
      <c r="AG47" s="2247"/>
      <c r="AH47" s="2247"/>
      <c r="AI47" s="2247"/>
      <c r="AJ47" s="2247"/>
      <c r="AK47" s="2247"/>
      <c r="AL47" s="2248"/>
      <c r="AM47" s="1259" t="s">
        <v>422</v>
      </c>
      <c r="AO47" s="501"/>
      <c r="AP47" s="501" t="str">
        <f>IF(T47="","",T47)</f>
        <v>Схема подключения теплопотребляющей установки к коллектору источника тепловой энергии</v>
      </c>
      <c r="AQ47" s="501"/>
      <c r="AR47" s="501"/>
      <c r="AS47" s="1156">
        <v>47</v>
      </c>
    </row>
    <row customHeight="1" ht="24">
      <c r="A48" s="1364" t="s">
        <v>164</v>
      </c>
      <c r="B48" s="1364" t="s">
        <v>165</v>
      </c>
      <c r="C48" s="1364" t="s">
        <v>166</v>
      </c>
      <c r="D48" s="1364" t="s">
        <v>167</v>
      </c>
      <c r="E48" s="2260"/>
      <c r="F48" s="2260"/>
      <c r="G48" s="2260"/>
      <c r="H48" s="2260"/>
      <c r="I48" s="2287"/>
      <c r="J48" s="2257" t="str">
        <f>I47&amp;".1"</f>
        <v>....1.1</v>
      </c>
      <c r="K48" s="1364"/>
      <c r="L48" s="1365" t="s">
        <v>423</v>
      </c>
      <c r="P48" s="2258"/>
      <c r="Q48" s="2258">
        <v>1</v>
      </c>
      <c r="R48" s="358"/>
      <c r="S48" s="1225" t="str">
        <f>$J48</f>
        <v>....1.1</v>
      </c>
      <c r="T48" s="287" t="s">
        <v>424</v>
      </c>
      <c r="U48" s="301"/>
      <c r="V48" s="2246"/>
      <c r="W48" s="2247"/>
      <c r="X48" s="2247"/>
      <c r="Y48" s="2247"/>
      <c r="Z48" s="2247"/>
      <c r="AA48" s="2247"/>
      <c r="AB48" s="2247"/>
      <c r="AC48" s="2248"/>
      <c r="AD48" s="2246"/>
      <c r="AE48" s="2247"/>
      <c r="AF48" s="2247"/>
      <c r="AG48" s="2247"/>
      <c r="AH48" s="2247"/>
      <c r="AI48" s="2247"/>
      <c r="AJ48" s="2247"/>
      <c r="AK48" s="2247"/>
      <c r="AL48" s="2248"/>
      <c r="AM48" s="1259" t="s">
        <v>425</v>
      </c>
      <c r="AO48" s="501"/>
      <c r="AP48" s="501" t="str">
        <f>IF(T48="","",T48)</f>
        <v>Группа потребителей</v>
      </c>
      <c r="AQ48" s="501"/>
      <c r="AR48" s="501"/>
      <c r="AS48" s="1156">
        <v>23</v>
      </c>
    </row>
    <row customHeight="1" ht="24">
      <c r="A49" s="1364" t="s">
        <v>164</v>
      </c>
      <c r="B49" s="1364" t="s">
        <v>165</v>
      </c>
      <c r="C49" s="1364" t="s">
        <v>166</v>
      </c>
      <c r="D49" s="1364" t="s">
        <v>167</v>
      </c>
      <c r="E49" s="2260"/>
      <c r="F49" s="2260"/>
      <c r="G49" s="2260"/>
      <c r="H49" s="2260"/>
      <c r="I49" s="2287"/>
      <c r="J49" s="2287"/>
      <c r="K49" s="2257" t="str">
        <f>J48&amp;".1"</f>
        <v>....1.1.1</v>
      </c>
      <c r="L49" s="1365" t="s">
        <v>426</v>
      </c>
      <c r="P49" s="2258"/>
      <c r="Q49" s="2258"/>
      <c r="R49" s="358">
        <v>1</v>
      </c>
      <c r="S49" s="1225" t="str">
        <f>$K49</f>
        <v>....1.1.1</v>
      </c>
      <c r="T49" s="1348"/>
      <c r="U49" s="301"/>
      <c r="V49" s="752"/>
      <c r="W49" s="326"/>
      <c r="X49" s="752"/>
      <c r="Y49" s="1258"/>
      <c r="Z49" s="2266"/>
      <c r="AA49" s="2108" t="s">
        <v>61</v>
      </c>
      <c r="AB49" s="2266"/>
      <c r="AC49" s="2108" t="s">
        <v>61</v>
      </c>
      <c r="AD49" s="752"/>
      <c r="AE49" s="326"/>
      <c r="AF49" s="752"/>
      <c r="AG49" s="1258"/>
      <c r="AH49" s="2266"/>
      <c r="AI49" s="2108" t="s">
        <v>61</v>
      </c>
      <c r="AJ49" s="2288"/>
      <c r="AK49" s="2108" t="s">
        <v>61</v>
      </c>
      <c r="AL49" s="1349"/>
      <c r="AM49" s="2254" t="s">
        <v>427</v>
      </c>
      <c r="AN49" s="512">
        <f>STRCHECKDATE(V50:AL50)</f>
      </c>
      <c r="AO49" s="501"/>
      <c r="AP49" s="501" t="str">
        <f>IF(T49="","",T49)</f>
        <v/>
      </c>
      <c r="AQ49" s="501"/>
      <c r="AR49" s="501"/>
      <c r="AS49" s="1156">
        <v>23</v>
      </c>
    </row>
    <row customHeight="1" ht="1.05">
      <c r="A50" s="1364" t="s">
        <v>164</v>
      </c>
      <c r="B50" s="1364" t="s">
        <v>165</v>
      </c>
      <c r="C50" s="1364" t="s">
        <v>166</v>
      </c>
      <c r="D50" s="1364" t="s">
        <v>167</v>
      </c>
      <c r="E50" s="2260"/>
      <c r="F50" s="2260"/>
      <c r="G50" s="2260"/>
      <c r="H50" s="2260"/>
      <c r="I50" s="2287"/>
      <c r="J50" s="2287"/>
      <c r="K50" s="2257"/>
      <c r="L50" s="1365"/>
      <c r="P50" s="2258"/>
      <c r="Q50" s="2258"/>
      <c r="R50" s="358"/>
      <c r="S50" s="1224"/>
      <c r="T50" s="301"/>
      <c r="U50" s="301"/>
      <c r="V50" s="326"/>
      <c r="W50" s="326"/>
      <c r="X50" s="326"/>
      <c r="Y50" s="329" t="str">
        <f>Z49&amp;"-"&amp;AB49</f>
        <v>-</v>
      </c>
      <c r="Z50" s="2267"/>
      <c r="AA50" s="2108"/>
      <c r="AB50" s="2267"/>
      <c r="AC50" s="2108"/>
      <c r="AD50" s="326"/>
      <c r="AE50" s="326"/>
      <c r="AF50" s="326"/>
      <c r="AG50" s="329" t="str">
        <f>AH49&amp;"-"&amp;AJ49</f>
        <v>-</v>
      </c>
      <c r="AH50" s="2267"/>
      <c r="AI50" s="2108"/>
      <c r="AJ50" s="2289"/>
      <c r="AK50" s="2108"/>
      <c r="AL50" s="1350"/>
      <c r="AM50" s="2255"/>
      <c r="AO50" s="501"/>
      <c r="AP50" s="501" t="str">
        <f>IF(T50="","",T50)</f>
        <v/>
      </c>
      <c r="AQ50" s="501"/>
      <c r="AR50" s="501"/>
      <c r="AS50" s="1156">
        <v>1</v>
      </c>
    </row>
    <row customHeight="1" ht="11.549999999999999">
      <c r="A51" s="1364" t="s">
        <v>164</v>
      </c>
      <c r="B51" s="1364" t="s">
        <v>165</v>
      </c>
      <c r="C51" s="1364" t="s">
        <v>166</v>
      </c>
      <c r="D51" s="1364" t="s">
        <v>167</v>
      </c>
      <c r="E51" s="2260"/>
      <c r="F51" s="2260"/>
      <c r="G51" s="2260"/>
      <c r="H51" s="2260"/>
      <c r="I51" s="2287"/>
      <c r="J51" s="2257"/>
      <c r="K51" s="1364"/>
      <c r="L51" s="1365"/>
      <c r="P51" s="2258"/>
      <c r="Q51" s="2258"/>
      <c r="R51" s="357"/>
      <c r="S51" s="1279"/>
      <c r="T51" s="289" t="s">
        <v>428</v>
      </c>
      <c r="U51" s="368"/>
      <c r="V51" s="368"/>
      <c r="W51" s="368"/>
      <c r="X51" s="368"/>
      <c r="Y51" s="368"/>
      <c r="Z51" s="368"/>
      <c r="AA51" s="368"/>
      <c r="AB51" s="368"/>
      <c r="AC51" s="368"/>
      <c r="AD51" s="368"/>
      <c r="AE51" s="368"/>
      <c r="AF51" s="368"/>
      <c r="AG51" s="368"/>
      <c r="AH51" s="368"/>
      <c r="AI51" s="368"/>
      <c r="AJ51" s="368"/>
      <c r="AK51" s="368"/>
      <c r="AL51" s="325"/>
      <c r="AM51" s="2256"/>
      <c r="AO51" s="501"/>
      <c r="AP51" s="501" t="str">
        <f>IF(T51="","",T51)</f>
        <v>Добавить вид теплоносителя (параметры теплоносителя)</v>
      </c>
      <c r="AQ51" s="501"/>
      <c r="AR51" s="501"/>
      <c r="AS51" s="1156">
        <v>11</v>
      </c>
    </row>
    <row customHeight="1" ht="11.549999999999999">
      <c r="A52" s="1364" t="s">
        <v>164</v>
      </c>
      <c r="B52" s="1364" t="s">
        <v>165</v>
      </c>
      <c r="C52" s="1364" t="s">
        <v>166</v>
      </c>
      <c r="D52" s="1364" t="s">
        <v>167</v>
      </c>
      <c r="E52" s="2260"/>
      <c r="F52" s="2260"/>
      <c r="G52" s="2260"/>
      <c r="H52" s="2260"/>
      <c r="I52" s="2257"/>
      <c r="J52" s="1364"/>
      <c r="K52" s="1364"/>
      <c r="L52" s="1365"/>
      <c r="P52" s="2258"/>
      <c r="Q52" s="1221"/>
      <c r="R52" s="357"/>
      <c r="S52" s="1279"/>
      <c r="T52" s="288" t="s">
        <v>429</v>
      </c>
      <c r="U52" s="368"/>
      <c r="V52" s="368"/>
      <c r="W52" s="368"/>
      <c r="X52" s="368"/>
      <c r="Y52" s="368"/>
      <c r="Z52" s="368"/>
      <c r="AA52" s="368"/>
      <c r="AB52" s="368"/>
      <c r="AC52" s="367"/>
      <c r="AD52" s="368"/>
      <c r="AE52" s="368"/>
      <c r="AF52" s="368"/>
      <c r="AG52" s="368"/>
      <c r="AH52" s="368"/>
      <c r="AI52" s="368"/>
      <c r="AJ52" s="368"/>
      <c r="AK52" s="367"/>
      <c r="AL52" s="368"/>
      <c r="AM52" s="304"/>
      <c r="AO52" s="501"/>
      <c r="AP52" s="501" t="str">
        <f>IF(T52="","",T52)</f>
        <v>Добавить группу потребителей</v>
      </c>
      <c r="AQ52" s="501"/>
      <c r="AR52" s="501"/>
      <c r="AS52" s="1156">
        <v>11</v>
      </c>
    </row>
    <row customHeight="1" ht="14.699999999999998">
      <c r="A53" s="1364" t="s">
        <v>164</v>
      </c>
      <c r="B53" s="1364" t="s">
        <v>165</v>
      </c>
      <c r="C53" s="1364" t="s">
        <v>166</v>
      </c>
      <c r="D53" s="1364" t="s">
        <v>167</v>
      </c>
      <c r="E53" s="2260"/>
      <c r="F53" s="2260"/>
      <c r="G53" s="2260"/>
      <c r="H53" s="2259"/>
      <c r="I53" s="1364"/>
      <c r="J53" s="1364"/>
      <c r="K53" s="1364"/>
      <c r="L53" s="1365"/>
      <c r="M53" s="1366"/>
      <c r="N53" s="1366"/>
      <c r="O53" s="538"/>
      <c r="P53" s="361"/>
      <c r="Q53" s="376"/>
      <c r="R53" s="356"/>
      <c r="S53" s="1279"/>
      <c r="T53" s="366" t="s">
        <v>430</v>
      </c>
      <c r="U53" s="368"/>
      <c r="V53" s="368"/>
      <c r="W53" s="368"/>
      <c r="X53" s="368"/>
      <c r="Y53" s="368"/>
      <c r="Z53" s="368"/>
      <c r="AA53" s="368"/>
      <c r="AB53" s="368"/>
      <c r="AC53" s="367"/>
      <c r="AD53" s="368"/>
      <c r="AE53" s="368"/>
      <c r="AF53" s="368"/>
      <c r="AG53" s="368"/>
      <c r="AH53" s="368"/>
      <c r="AI53" s="368"/>
      <c r="AJ53" s="368"/>
      <c r="AK53" s="367"/>
      <c r="AL53" s="368"/>
      <c r="AM53" s="304"/>
      <c r="AO53" s="501"/>
      <c r="AP53" s="501" t="str">
        <f>IF(T53="","",T53)</f>
        <v>Добавить схему подключения</v>
      </c>
      <c r="AQ53" s="501"/>
      <c r="AR53" s="501"/>
      <c r="AS53" s="1156">
        <v>14</v>
      </c>
    </row>
    <row s="1643" customFormat="1" customHeight="1" ht="1.05">
      <c r="A54" s="1344" t="s">
        <v>164</v>
      </c>
      <c r="B54" s="1344" t="s">
        <v>165</v>
      </c>
      <c r="C54" s="1344" t="s">
        <v>166</v>
      </c>
      <c r="D54" s="1315"/>
      <c r="E54" s="2260"/>
      <c r="F54" s="2260"/>
      <c r="G54" s="2259"/>
      <c r="H54" s="1315"/>
      <c r="I54" s="1315"/>
      <c r="J54" s="1315"/>
      <c r="K54" s="1315"/>
      <c r="L54" s="1340"/>
      <c r="M54" s="1316"/>
      <c r="N54" s="1316"/>
      <c r="P54" s="1317"/>
      <c r="Q54" s="1318"/>
      <c r="R54" s="1317"/>
      <c r="S54" s="1323"/>
      <c r="T54" s="1326" t="s">
        <v>176</v>
      </c>
      <c r="U54" s="1325"/>
      <c r="V54" s="1325"/>
      <c r="W54" s="1325"/>
      <c r="X54" s="1325"/>
      <c r="Y54" s="1325"/>
      <c r="Z54" s="1325"/>
      <c r="AA54" s="1325"/>
      <c r="AB54" s="1325"/>
      <c r="AC54" s="1325"/>
      <c r="AD54" s="1325"/>
      <c r="AE54" s="1325"/>
      <c r="AF54" s="1325"/>
      <c r="AG54" s="1325"/>
      <c r="AH54" s="1325"/>
      <c r="AI54" s="1325"/>
      <c r="AJ54" s="1325"/>
      <c r="AK54" s="1325"/>
      <c r="AL54" s="1325"/>
      <c r="AM54" s="1325"/>
      <c r="AO54" s="790"/>
      <c r="AP54" s="790" t="str">
        <f>IF(T54="","",T54)</f>
        <v>Добавить источник для дифференциации</v>
      </c>
      <c r="AQ54" s="790"/>
      <c r="AR54" s="790"/>
      <c r="AS54" s="519">
        <v>1</v>
      </c>
    </row>
    <row s="1643" customFormat="1" customHeight="1" ht="1.05">
      <c r="A55" s="1344" t="s">
        <v>164</v>
      </c>
      <c r="B55" s="1344" t="s">
        <v>165</v>
      </c>
      <c r="C55" s="1315"/>
      <c r="D55" s="1315"/>
      <c r="E55" s="2260"/>
      <c r="F55" s="2259"/>
      <c r="G55" s="1315"/>
      <c r="H55" s="1315"/>
      <c r="I55" s="1315"/>
      <c r="J55" s="1315"/>
      <c r="K55" s="1315"/>
      <c r="L55" s="1340"/>
      <c r="M55" s="1322"/>
      <c r="N55" s="1322"/>
      <c r="P55" s="1317"/>
      <c r="Q55" s="1318"/>
      <c r="R55" s="1317"/>
      <c r="S55" s="1323"/>
      <c r="T55" s="1326" t="s">
        <v>177</v>
      </c>
      <c r="U55" s="1325"/>
      <c r="V55" s="1325"/>
      <c r="W55" s="1325"/>
      <c r="X55" s="1325"/>
      <c r="Y55" s="1325"/>
      <c r="Z55" s="1325"/>
      <c r="AA55" s="1325"/>
      <c r="AB55" s="1325"/>
      <c r="AC55" s="1325"/>
      <c r="AD55" s="1325"/>
      <c r="AE55" s="1325"/>
      <c r="AF55" s="1325"/>
      <c r="AG55" s="1325"/>
      <c r="AH55" s="1325"/>
      <c r="AI55" s="1325"/>
      <c r="AJ55" s="1325"/>
      <c r="AK55" s="1325"/>
      <c r="AL55" s="1325"/>
      <c r="AM55" s="1325"/>
      <c r="AO55" s="790"/>
      <c r="AP55" s="790" t="str">
        <f>IF(T55="","",T55)</f>
        <v>Добавить централизованную систему для дифференциации</v>
      </c>
      <c r="AQ55" s="790"/>
      <c r="AR55" s="790"/>
      <c r="AS55" s="519">
        <v>1</v>
      </c>
    </row>
    <row s="1643" customFormat="1" customHeight="1" ht="1.05">
      <c r="A56" s="1344" t="s">
        <v>164</v>
      </c>
      <c r="B56" s="1344"/>
      <c r="C56" s="1344"/>
      <c r="D56" s="1344"/>
      <c r="E56" s="2259"/>
      <c r="F56" s="1344"/>
      <c r="G56" s="1344"/>
      <c r="H56" s="1344"/>
      <c r="I56" s="1344"/>
      <c r="J56" s="1344"/>
      <c r="K56" s="1344"/>
      <c r="L56" s="1347"/>
      <c r="M56" s="1322"/>
      <c r="N56" s="1322"/>
      <c r="O56" s="519"/>
      <c r="P56" s="381"/>
      <c r="Q56" s="1345"/>
      <c r="R56" s="381"/>
      <c r="S56" s="1323"/>
      <c r="T56" s="1326" t="s">
        <v>178</v>
      </c>
      <c r="U56" s="1325"/>
      <c r="V56" s="1325"/>
      <c r="W56" s="1325"/>
      <c r="X56" s="1325"/>
      <c r="Y56" s="1325"/>
      <c r="Z56" s="1325"/>
      <c r="AA56" s="1325"/>
      <c r="AB56" s="1325"/>
      <c r="AC56" s="1325"/>
      <c r="AD56" s="1325"/>
      <c r="AE56" s="1325"/>
      <c r="AF56" s="1325"/>
      <c r="AG56" s="1325"/>
      <c r="AH56" s="1325"/>
      <c r="AI56" s="1325"/>
      <c r="AJ56" s="1325"/>
      <c r="AK56" s="1325"/>
      <c r="AL56" s="1325"/>
      <c r="AM56" s="1325"/>
      <c r="AO56" s="501"/>
      <c r="AP56" s="501" t="str">
        <f>IF(T56="","",T56)</f>
        <v>Добавить территорию для дифференциации</v>
      </c>
      <c r="AQ56" s="501"/>
      <c r="AR56" s="501"/>
      <c r="AS56" s="512">
        <v>1</v>
      </c>
    </row>
    <row s="1643" customFormat="1" customHeight="1" ht="1.05">
      <c r="A57" s="1315"/>
      <c r="B57" s="1315"/>
      <c r="C57" s="1315"/>
      <c r="D57" s="1315"/>
      <c r="E57" s="1344"/>
      <c r="F57" s="1315"/>
      <c r="G57" s="1315"/>
      <c r="H57" s="1315"/>
      <c r="I57" s="1315"/>
      <c r="J57" s="1315"/>
      <c r="K57" s="1315"/>
      <c r="L57" s="1340"/>
      <c r="M57" s="1322"/>
      <c r="N57" s="1322"/>
      <c r="P57" s="1317"/>
      <c r="Q57" s="1318"/>
      <c r="R57" s="1317"/>
      <c r="S57" s="1323"/>
      <c r="T57" s="1326" t="s">
        <v>184</v>
      </c>
      <c r="U57" s="1325"/>
      <c r="V57" s="1325"/>
      <c r="W57" s="1325"/>
      <c r="X57" s="1325"/>
      <c r="Y57" s="1325"/>
      <c r="Z57" s="1325"/>
      <c r="AA57" s="1325"/>
      <c r="AB57" s="1325"/>
      <c r="AC57" s="1325"/>
      <c r="AD57" s="1325"/>
      <c r="AE57" s="1325"/>
      <c r="AF57" s="1325"/>
      <c r="AG57" s="1325"/>
      <c r="AH57" s="1325"/>
      <c r="AI57" s="1325"/>
      <c r="AJ57" s="1325"/>
      <c r="AK57" s="1325"/>
      <c r="AL57" s="1325"/>
      <c r="AM57" s="1325"/>
      <c r="AO57" s="790"/>
      <c r="AP57" s="790" t="str">
        <f>IF(T57="","",T57)</f>
        <v>Добавить наименование тарифа</v>
      </c>
      <c r="AQ57" s="790"/>
      <c r="AR57" s="790"/>
      <c r="AS57" s="519">
        <v>1</v>
      </c>
    </row>
    <row customHeight="1" ht="11.549999999999999">
      <c r="M58" s="1161"/>
      <c r="N58" s="1161"/>
      <c r="O58" s="538"/>
      <c r="P58" s="1156"/>
      <c r="Q58" s="1156"/>
      <c r="R58" s="1156"/>
      <c r="S58" s="1156"/>
      <c r="AN58" s="1156"/>
      <c r="AO58" s="1156"/>
      <c r="AP58" s="1156"/>
      <c r="AQ58" s="1156"/>
      <c r="AR58" s="1156"/>
      <c r="AS58" s="1156">
        <v>11</v>
      </c>
    </row>
    <row customHeight="1" ht="28.5">
      <c r="O59" s="538"/>
      <c r="S59" s="1254"/>
      <c r="T59" s="2286"/>
      <c r="U59" s="2286"/>
      <c r="V59" s="2286"/>
      <c r="W59" s="2286"/>
      <c r="X59" s="2286"/>
      <c r="Y59" s="2286"/>
      <c r="Z59" s="2286"/>
      <c r="AA59" s="2286"/>
      <c r="AB59" s="2286"/>
      <c r="AC59" s="2286"/>
      <c r="AD59" s="2286"/>
      <c r="AE59" s="2286"/>
      <c r="AF59" s="2286"/>
      <c r="AG59" s="2286"/>
      <c r="AH59" s="2286"/>
      <c r="AI59" s="2286"/>
      <c r="AJ59" s="2286"/>
      <c r="AK59" s="2286"/>
      <c r="AL59" s="2286"/>
      <c r="AM59" s="2286"/>
      <c r="AS59" s="1156">
        <v>27</v>
      </c>
    </row>
    <row customHeight="1" ht="67.2">
      <c r="O60" s="538"/>
      <c r="P60" s="1304"/>
      <c r="T60" s="2286"/>
      <c r="U60" s="2286"/>
      <c r="V60" s="2286"/>
      <c r="W60" s="2286"/>
      <c r="X60" s="2286"/>
      <c r="Y60" s="2286"/>
      <c r="Z60" s="2286"/>
      <c r="AA60" s="2286"/>
      <c r="AB60" s="2286"/>
      <c r="AC60" s="2286"/>
      <c r="AD60" s="2286"/>
      <c r="AE60" s="2286"/>
      <c r="AF60" s="2286"/>
      <c r="AG60" s="2286"/>
      <c r="AH60" s="2286"/>
      <c r="AI60" s="2286"/>
      <c r="AJ60" s="2286"/>
      <c r="AK60" s="2286"/>
      <c r="AL60" s="2286"/>
      <c r="AM60" s="2286"/>
      <c r="AS60" s="1156">
        <v>64</v>
      </c>
    </row>
    <row customHeight="1" ht="14.699999999999998">
      <c r="O61" s="538"/>
      <c r="AS61" s="1156">
        <v>14</v>
      </c>
    </row>
    <row customHeight="1" ht="18.75">
      <c r="O62" s="538"/>
      <c r="P62" s="1329"/>
      <c r="S62" s="1254"/>
      <c r="T62" s="2286"/>
      <c r="U62" s="2286"/>
      <c r="V62" s="2286"/>
      <c r="W62" s="2286"/>
      <c r="X62" s="2286"/>
      <c r="Y62" s="2286"/>
      <c r="Z62" s="2286"/>
      <c r="AA62" s="2286"/>
      <c r="AB62" s="2286"/>
      <c r="AC62" s="2286"/>
      <c r="AD62" s="2286"/>
      <c r="AE62" s="2286"/>
      <c r="AF62" s="2286"/>
      <c r="AG62" s="2286"/>
      <c r="AH62" s="2286"/>
      <c r="AI62" s="2286"/>
      <c r="AJ62" s="2286"/>
      <c r="AK62" s="2286"/>
      <c r="AL62" s="2286"/>
      <c r="AM62" s="2286"/>
      <c r="AS62" s="1156">
        <v>18</v>
      </c>
    </row>
    <row customHeight="1" ht="18.75">
      <c r="O63" s="538"/>
      <c r="P63" s="1329"/>
      <c r="T63" s="2286"/>
      <c r="U63" s="2286"/>
      <c r="V63" s="2286"/>
      <c r="W63" s="2286"/>
      <c r="X63" s="2286"/>
      <c r="Y63" s="2286"/>
      <c r="Z63" s="2286"/>
      <c r="AA63" s="2286"/>
      <c r="AB63" s="2286"/>
      <c r="AC63" s="2286"/>
      <c r="AD63" s="2286"/>
      <c r="AE63" s="2286"/>
      <c r="AF63" s="2286"/>
      <c r="AG63" s="2286"/>
      <c r="AH63" s="2286"/>
      <c r="AI63" s="2286"/>
      <c r="AJ63" s="2286"/>
      <c r="AK63" s="2286"/>
      <c r="AL63" s="2286"/>
      <c r="AM63" s="2286"/>
      <c r="AS63" s="1156">
        <v>18</v>
      </c>
    </row>
    <row customHeight="1" ht="29.25">
      <c r="O64" s="538"/>
      <c r="P64" s="1329"/>
      <c r="S64" s="1254"/>
      <c r="T64" s="2286"/>
      <c r="U64" s="2286"/>
      <c r="V64" s="2286"/>
      <c r="W64" s="2286"/>
      <c r="X64" s="2286"/>
      <c r="Y64" s="2286"/>
      <c r="Z64" s="2286"/>
      <c r="AA64" s="2286"/>
      <c r="AB64" s="2286"/>
      <c r="AC64" s="2286"/>
      <c r="AD64" s="2286"/>
      <c r="AE64" s="2286"/>
      <c r="AF64" s="2286"/>
      <c r="AG64" s="2286"/>
      <c r="AH64" s="2286"/>
      <c r="AI64" s="2286"/>
      <c r="AJ64" s="2286"/>
      <c r="AK64" s="2286"/>
      <c r="AL64" s="2286"/>
      <c r="AM64" s="2286"/>
      <c r="AS64" s="1156">
        <v>28</v>
      </c>
    </row>
    <row customHeight="1" ht="22.5" hidden="1">
      <c r="A65" s="1161" t="s">
        <v>83</v>
      </c>
      <c r="B65" s="1161">
        <v>0</v>
      </c>
      <c r="C65" s="1161">
        <v>0</v>
      </c>
      <c r="D65" s="1161">
        <v>0</v>
      </c>
      <c r="E65" s="1161">
        <v>0</v>
      </c>
      <c r="F65" s="1161">
        <v>0</v>
      </c>
      <c r="G65" s="1161">
        <v>0</v>
      </c>
      <c r="H65" s="1161">
        <v>0</v>
      </c>
      <c r="I65" s="1161">
        <v>0</v>
      </c>
      <c r="J65" s="1161">
        <v>0</v>
      </c>
      <c r="K65" s="1161">
        <v>0</v>
      </c>
      <c r="L65" s="1330">
        <v>0</v>
      </c>
      <c r="M65" s="1363">
        <v>0</v>
      </c>
      <c r="N65" s="1363">
        <v>0</v>
      </c>
      <c r="O65" s="1363">
        <v>0</v>
      </c>
      <c r="P65" s="1219">
        <v>3</v>
      </c>
      <c r="Q65" s="345">
        <v>3</v>
      </c>
      <c r="R65" s="345">
        <v>3</v>
      </c>
      <c r="S65" s="582">
        <v>12</v>
      </c>
      <c r="T65" s="1156">
        <v>35</v>
      </c>
      <c r="U65" s="1156">
        <v>0</v>
      </c>
      <c r="V65" s="1156">
        <v>0</v>
      </c>
      <c r="W65" s="1156">
        <v>0</v>
      </c>
      <c r="X65" s="1156">
        <v>0</v>
      </c>
      <c r="Y65" s="1156">
        <v>0</v>
      </c>
      <c r="Z65" s="1156">
        <v>0</v>
      </c>
      <c r="AA65" s="1156">
        <v>0</v>
      </c>
      <c r="AB65" s="1156">
        <v>0</v>
      </c>
      <c r="AC65" s="1156">
        <v>0</v>
      </c>
      <c r="AD65" s="1156">
        <v>24</v>
      </c>
      <c r="AE65" s="1156">
        <v>0</v>
      </c>
      <c r="AF65" s="1156">
        <v>24</v>
      </c>
      <c r="AG65" s="1156">
        <v>24</v>
      </c>
      <c r="AH65" s="1156">
        <v>11</v>
      </c>
      <c r="AI65" s="1156">
        <v>3</v>
      </c>
      <c r="AJ65" s="1156">
        <v>11</v>
      </c>
      <c r="AK65" s="1156">
        <v>0</v>
      </c>
      <c r="AL65" s="1156">
        <v>4</v>
      </c>
      <c r="AM65" s="1156">
        <v>115</v>
      </c>
      <c r="AN65" s="512">
        <v>10</v>
      </c>
      <c r="AO65" s="512">
        <v>10</v>
      </c>
      <c r="AP65" s="512">
        <v>10</v>
      </c>
      <c r="AQ65" s="512">
        <v>10</v>
      </c>
      <c r="AR65" s="512">
        <v>10</v>
      </c>
      <c r="AS65" s="1156">
        <v>23</v>
      </c>
    </row>
  </sheetData>
  <sheetProtection formatColumns="0" formatRows="0" autoFilter="0" sort="0" insertRows="0" insertColumns="1" deleteRows="0" deleteColumns="0"/>
  <mergeCells count="112">
    <mergeCell ref="V7:AC7"/>
    <mergeCell ref="AD7:AL7"/>
    <mergeCell ref="S34:T34"/>
    <mergeCell ref="V34:AB34"/>
    <mergeCell ref="AD34:AJ34"/>
    <mergeCell ref="S35:T35"/>
    <mergeCell ref="V35:AB35"/>
    <mergeCell ref="AD35:AJ35"/>
    <mergeCell ref="V2:AC2"/>
    <mergeCell ref="AD2:AL2"/>
    <mergeCell ref="V3:AC3"/>
    <mergeCell ref="AD3:AL3"/>
    <mergeCell ref="V4:AC4"/>
    <mergeCell ref="AD4:AL4"/>
    <mergeCell ref="V5:AC5"/>
    <mergeCell ref="AD5:AL5"/>
    <mergeCell ref="V6:AC6"/>
    <mergeCell ref="AD6:AL6"/>
    <mergeCell ref="AI17:AI18"/>
    <mergeCell ref="AJ17:AJ18"/>
    <mergeCell ref="AK17:AK18"/>
    <mergeCell ref="AK8:AK9"/>
    <mergeCell ref="AD29:AJ29"/>
    <mergeCell ref="AD30:AJ30"/>
    <mergeCell ref="T62:AM62"/>
    <mergeCell ref="T63:AM63"/>
    <mergeCell ref="T64:AM64"/>
    <mergeCell ref="E2:E15"/>
    <mergeCell ref="F3:F14"/>
    <mergeCell ref="G4:G13"/>
    <mergeCell ref="H5:H12"/>
    <mergeCell ref="I6:I11"/>
    <mergeCell ref="J7:J10"/>
    <mergeCell ref="I47:I52"/>
    <mergeCell ref="J48:J51"/>
    <mergeCell ref="K49:K50"/>
    <mergeCell ref="P47:P52"/>
    <mergeCell ref="Q48:Q51"/>
    <mergeCell ref="AH49:AH50"/>
    <mergeCell ref="AI49:AI50"/>
    <mergeCell ref="AJ49:AJ50"/>
    <mergeCell ref="AK49:AK50"/>
    <mergeCell ref="T59:AM59"/>
    <mergeCell ref="W40:W41"/>
    <mergeCell ref="T60:AM60"/>
    <mergeCell ref="Z49:Z50"/>
    <mergeCell ref="AA49:AA50"/>
    <mergeCell ref="AB49:AB50"/>
    <mergeCell ref="Z40:AB40"/>
    <mergeCell ref="AA41:AB41"/>
    <mergeCell ref="AA42:AB42"/>
    <mergeCell ref="V37:AC37"/>
    <mergeCell ref="S38:AL38"/>
    <mergeCell ref="AM38:AM41"/>
    <mergeCell ref="S39:S41"/>
    <mergeCell ref="T39:T41"/>
    <mergeCell ref="V39:AB39"/>
    <mergeCell ref="AC39:AC41"/>
    <mergeCell ref="AL39:AL41"/>
    <mergeCell ref="AI42:AJ42"/>
    <mergeCell ref="AD39:AJ39"/>
    <mergeCell ref="AK39:AK41"/>
    <mergeCell ref="AD40:AD41"/>
    <mergeCell ref="AE40:AE41"/>
    <mergeCell ref="AF40:AG40"/>
    <mergeCell ref="AH40:AJ40"/>
    <mergeCell ref="AI41:AJ41"/>
    <mergeCell ref="AC49:AC50"/>
    <mergeCell ref="AM49:AM51"/>
    <mergeCell ref="AM8:AM10"/>
    <mergeCell ref="K8:K9"/>
    <mergeCell ref="P6:P11"/>
    <mergeCell ref="E43:E56"/>
    <mergeCell ref="F44:F55"/>
    <mergeCell ref="G45:G54"/>
    <mergeCell ref="H46:H53"/>
    <mergeCell ref="V40:V41"/>
    <mergeCell ref="X40:Y40"/>
    <mergeCell ref="V29:AB29"/>
    <mergeCell ref="V30:AB30"/>
    <mergeCell ref="V31:AB31"/>
    <mergeCell ref="V32:AB32"/>
    <mergeCell ref="Q7:Q10"/>
    <mergeCell ref="AH8:AH9"/>
    <mergeCell ref="AI8:AI9"/>
    <mergeCell ref="AJ8:AJ9"/>
    <mergeCell ref="Z8:Z9"/>
    <mergeCell ref="AA8:AA9"/>
    <mergeCell ref="AB8:AB9"/>
    <mergeCell ref="AC8:AC9"/>
    <mergeCell ref="AH17:AH18"/>
    <mergeCell ref="S26:AJ26"/>
    <mergeCell ref="S27:AJ27"/>
    <mergeCell ref="S29:T29"/>
    <mergeCell ref="S30:T30"/>
    <mergeCell ref="S31:T31"/>
    <mergeCell ref="S32:T32"/>
    <mergeCell ref="AD31:AJ31"/>
    <mergeCell ref="AD32:AJ32"/>
    <mergeCell ref="AD37:AK37"/>
    <mergeCell ref="V43:AC43"/>
    <mergeCell ref="V44:AC44"/>
    <mergeCell ref="V45:AC45"/>
    <mergeCell ref="V46:AC46"/>
    <mergeCell ref="V47:AC47"/>
    <mergeCell ref="V48:AC48"/>
    <mergeCell ref="AD43:AL43"/>
    <mergeCell ref="AD44:AL44"/>
    <mergeCell ref="AD45:AL45"/>
    <mergeCell ref="AD46:AL46"/>
    <mergeCell ref="AD47:AL47"/>
    <mergeCell ref="AD48:AL48"/>
  </mergeCells>
  <dataValidations count="8">
    <dataValidation allowBlank="1" sqref="S131123:AM131129 S196659:AM196665 S262195:AM262201 S327731:AM327737 S393267:AM393273 S458803:AM458809 S524339:AM524345 S589875:AM589881 S655411:AM655417 S720947:AM720953 S786483:AM786489 S852019:AM852025 S917555:AM917561 S983091:AM983097 S65587:AM65593"/>
    <dataValidation type="list" allowBlank="1" showInputMessage="1" errorTitle="Ошибка" error="Выберите значение из списка" prompt="Выберите значение из списка" sqref="V983088:AL983088 V65584:AL65584 V131120:AL131120 V196656:AL196656 V262192:AL262192 V327728:AL327728 V393264:AL393264 V458800:AL458800 V524336:AL524336 V589872:AL589872 V655408:AL655408 V720944:AL720944 V786480:AL786480 V852016:AL852016 V917552:AL917552">
      <formula1>kind_of_cons</formula1>
    </dataValidation>
    <dataValidation allowBlank="1" promptTitle="checkPeriodRange" sqref="Y65586 Y131122 Y196658 Y262194 Y327730 Y393266 Y458802 Y524338 Y589874 Y655410 Y720946 Y786482 Y852018 Y917554 Y983090 Y9 AG65586 AG131122 AG196658 AG262194 AG327730 AG393266 AG458802 AG524338 AG589874 AG655410 AG720946 AG786482 AG852018 AG917554 AG983090 AG9 Y50 AG18 AG50"/>
    <dataValidation type="list" allowBlank="1" showInputMessage="1" showErrorMessage="1" errorTitle="Ошибка" error="Выберите значение из списка" sqref="V983087:W983087 V65583:W65583 V131119:W131119 V196655:W196655 V262191:W262191 V327727:W327727 V393263:W393263 V458799:W458799 V524335:W524335 V589871:W589871 V655407:W655407 V720943:W720943 V786479:W786479 V852015:W852015 V917551:W917551 AD983087:AE983087 AD65583:AE65583 AD131119:AE131119 AD196655:AE196655 AD262191:AE262191 AD327727:AE327727 AD393263:AE393263 AD458799:AE458799 AD524335:AE524335 AD589871:AE589871 AD655407:AE655407 AD720943:AE720943 AD786479:AE786479 AD852015:AE852015 AD917551:AE917551">
      <formula1>kind_of_scheme_in</formula1>
    </dataValidation>
    <dataValidation type="textLength" operator="lessThanOrEqual" allowBlank="1" showInputMessage="1" showErrorMessage="1" errorTitle="Ошибка" error="Допускается ввод не более 900 символов!" sqref="AM65579:AM65586 AM131115:AM131122 AM196651:AM196658 AM262187:AM262194 AM327723:AM327730 AM393259:AM393266 AM458795:AM458802 AM524331:AM524338 AM589867:AM589874 AM655403:AM655410 AM720939:AM720946 AM786475:AM786482 AM852011:AM852018 AM917547:AM917554 AM983083:AM983090">
      <formula1>900</formula1>
    </dataValidation>
    <dataValidation type="list" allowBlank="1" showInputMessage="1" showErrorMessage="1" errorTitle="Ошибка" error="Выберите значение из списка" sqref="T65585 T131121 T196657 T262193 T327729 T393265 T458801 T524337 T589873 T655409 T720945 T786481 T852017 T917553 T983089">
      <formula1>kind_of_heat_transfer</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5 Z131121 Z196657 Z262193 Z327729 Z393265 Z458801 Z524337 Z589873 Z655409 Z720945 Z786481 Z852017 Z917553 Z983089 AB65585 AB131121 AB196657 AB262193 AB327729 AB393265 AB458801 AB524337 AB589873 AB655409 AB720945 AB786481 AB852017 AB917553 AB983089 Z8 AH65585 AH131121 AH196657 AH262193 AH327729 AH393265 AH458801 AH524337 AH589873 AH655409 AH720945 AH786481 AH852017 AH917553 AH983089 AJ65585 AJ131121 AJ196657 AJ262193 AJ327729 AJ393265 AJ458801 AJ524337 AJ589873 AJ655409 AJ720945 AJ786481 AJ852017 AJ917553 AJ983089 AJ49 AH49 AH8 AJ8 AB8 AH17 AJ17 Z49 AB49"/>
    <dataValidation allowBlank="1" showInputMessage="1" showErrorMessage="1" prompt="Для выбора выполните двойной щелчок левой клавиши мыши по соответствующей ячейке." sqref="AA65585 AA131121 AA196657 AA262193 AA327729 AA393265 AA458801 AA524337 AA589873 AA655409 AA720945 AA786481 AA852017 AA917553 AA983089 AC131121 AC458801 AC196657 AC262193 AC327729 AC393265 AC524337 AC589873 AC655409 AC720945 AC786481 AC852017 AC917553 AC983089 AC65585 AI65585 AI131121 AI196657 AI262193 AI327729 AI393265 AI458801 AI524337 AI589873 AI655409 AI720945 AI786481 AI852017 AI917553 AI983089 AK327729 AK393265 AK49 AK524337 AK8 AK589873 AK655409 AK17 AK720945 AK786481 AK852017 AK917553 AK983089 AK65585 AK131121 AI49 AK458801 AI8 AC8 AA8 AI17 AK196657 AA49 AC49 AK262193"/>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B35AABE8-B608-B68B-05F8-787BE7108128}" mc:Ignorable="x14ac xr xr2 xr3">
  <sheetPr>
    <tabColor theme="6" tint="0.4"/>
  </sheetPr>
  <dimension ref="A1:BA87"/>
  <sheetViews>
    <sheetView showGridLines="0" zoomScale="90" workbookViewId="0">
      <pane xSplit="29" ySplit="42" topLeftCell="AD67" activePane="bottomRight" state="frozen"/>
      <selection pane="bottomLeft" activeCell="A43" sqref="A43"/>
      <selection pane="topRight" activeCell="AD1" sqref="AD1"/>
      <selection pane="bottomRight" activeCell="AD66" sqref="AD66:AT66"/>
    </sheetView>
  </sheetViews>
  <sheetFormatPr defaultColWidth="10.57421875" customHeight="1" defaultRowHeight="14.25"/>
  <cols>
    <col min="1" max="1" style="1367" width="10.57421875" hidden="1"/>
    <col min="2" max="2" style="1367" width="11.00390625" hidden="1" customWidth="1"/>
    <col min="3" max="3" style="1367" width="10.57421875" hidden="1"/>
    <col min="4" max="4" style="1367" width="11.8515625" hidden="1" customWidth="1"/>
    <col min="5" max="5" style="1367" width="10.00390625" hidden="1" customWidth="1"/>
    <col min="6" max="6" style="1367" width="8.7109375" hidden="1" customWidth="1"/>
    <col min="7" max="7" style="1367" width="7.57421875" hidden="1" customWidth="1"/>
    <col min="8" max="8" style="1367" width="11.421875" hidden="1" customWidth="1"/>
    <col min="9" max="9" style="1367" width="12.00390625" hidden="1" customWidth="1"/>
    <col min="10" max="10" style="1367" width="9.8515625" hidden="1" customWidth="1"/>
    <col min="11" max="11" style="1367" width="11.421875" hidden="1" customWidth="1"/>
    <col min="12" max="12" style="2608" width="19.140625" hidden="1" customWidth="1"/>
    <col min="13" max="14" style="1777" width="12.28125" hidden="1" customWidth="1"/>
    <col min="15" max="15" style="1777" width="23.421875" hidden="1" customWidth="1"/>
    <col min="16" max="16" style="2398" width="3.00390625" customWidth="1"/>
    <col min="17" max="18" style="345" width="3.00390625" customWidth="1"/>
    <col min="19" max="19" style="2408" width="12.00390625" customWidth="1"/>
    <col min="20" max="20" style="1636" width="31.00390625" customWidth="1"/>
    <col min="21" max="21" style="1636" width="0.140625" customWidth="1"/>
    <col min="22" max="22" style="1636" width="24.7109375" hidden="1" customWidth="1"/>
    <col min="23" max="23" style="1636" width="0.140625" hidden="1" customWidth="1"/>
    <col min="24" max="25" style="1636" width="24.7109375" hidden="1" customWidth="1"/>
    <col min="26" max="26" style="1636" width="11.7109375" hidden="1" customWidth="1"/>
    <col min="27" max="27" style="1636" width="3.7109375" hidden="1" customWidth="1"/>
    <col min="28" max="28" style="1636" width="11.7109375" hidden="1" customWidth="1"/>
    <col min="29" max="29" style="1636" width="8.57421875" hidden="1" customWidth="1"/>
    <col min="30" max="30" style="1636" width="24.7109375" customWidth="1"/>
    <col min="31" max="31" style="1636" width="0.140625" customWidth="1"/>
    <col min="32" max="33" style="1636" width="24.00390625" customWidth="1"/>
    <col min="34" max="34" style="1636" width="11.00390625" customWidth="1"/>
    <col min="35" max="35" style="1636" width="3.7109375" customWidth="1"/>
    <col min="36" max="36" style="1636" width="11.00390625" customWidth="1"/>
    <col min="37" max="37" style="1636" width="8.57421875" customWidth="1"/>
    <col min="45" max="45" style="65" width="10.57421875" hidden="1"/>
    <col min="46" max="46" style="1636" width="4.00390625" customWidth="1"/>
    <col min="47" max="47" style="1636" width="115.00390625" customWidth="1"/>
    <col min="48" max="52" style="1643" width="10.00390625" customWidth="1"/>
    <col min="53" max="53" style="1636" width="10.57421875" hidden="1"/>
  </cols>
  <sheetData>
    <row customHeight="1" ht="22.5" hidden="1">
      <c r="Y1" s="328"/>
      <c r="Z1" s="328"/>
      <c r="AG1" s="328"/>
      <c r="AH1" s="328"/>
      <c r="AL1" s="1636"/>
      <c r="AM1" s="1636"/>
      <c r="AN1" s="1636"/>
      <c r="AO1" s="1636"/>
      <c r="AP1" s="1636"/>
      <c r="AQ1" s="1636"/>
      <c r="AR1" s="1636"/>
      <c r="AS1" s="2898"/>
      <c r="BA1" s="1156" t="s">
        <v>14</v>
      </c>
    </row>
    <row customHeight="1" ht="21" hidden="1">
      <c r="A2" s="1364"/>
      <c r="B2" s="1364"/>
      <c r="C2" s="1364"/>
      <c r="D2" s="1364"/>
      <c r="E2" s="2259">
        <v>1</v>
      </c>
      <c r="F2" s="1364"/>
      <c r="G2" s="1364"/>
      <c r="H2" s="1364"/>
      <c r="I2" s="1364"/>
      <c r="J2" s="1364"/>
      <c r="K2" s="1364"/>
      <c r="L2" s="1365"/>
      <c r="M2" s="1366"/>
      <c r="N2" s="1366"/>
      <c r="O2" s="1366"/>
      <c r="P2" s="362"/>
      <c r="Q2" s="361"/>
      <c r="R2" s="356"/>
      <c r="S2" s="1337">
        <f>INDEX(PT_DIFFERENTIATION_NUM_NTAR,MATCH(A2,PT_DIFFERENTIATION_NTAR_ID,0))</f>
      </c>
      <c r="T2" s="299" t="s">
        <v>131</v>
      </c>
      <c r="U2" s="301"/>
      <c r="V2" s="2243"/>
      <c r="W2" s="2244"/>
      <c r="X2" s="2244"/>
      <c r="Y2" s="2244"/>
      <c r="Z2" s="2244"/>
      <c r="AA2" s="2244"/>
      <c r="AB2" s="2244"/>
      <c r="AC2" s="2245"/>
      <c r="AD2" s="2243">
        <f>INDEX(PT_DIFFERENTIATION_NTAR,MATCH(A2,PT_DIFFERENTIATION_NTAR_ID,0))</f>
      </c>
      <c r="AE2" s="2244"/>
      <c r="AF2" s="2244"/>
      <c r="AG2" s="2244"/>
      <c r="AH2" s="2244"/>
      <c r="AI2" s="2244"/>
      <c r="AJ2" s="2244"/>
      <c r="AK2" s="2244"/>
      <c r="AL2" s="2243"/>
      <c r="AM2" s="2244"/>
      <c r="AN2" s="2244"/>
      <c r="AO2" s="2244"/>
      <c r="AP2" s="2244"/>
      <c r="AQ2" s="2244"/>
      <c r="AR2" s="2244"/>
      <c r="AS2" s="2899"/>
      <c r="AT2" s="2245"/>
      <c r="AU2" s="1259" t="s">
        <v>413</v>
      </c>
      <c r="AW2" s="501"/>
      <c r="AX2" s="501" t="str">
        <f>IF(T2="","",T2)</f>
        <v>Наименование тарифа</v>
      </c>
      <c r="AY2" s="501"/>
      <c r="AZ2" s="501"/>
      <c r="BA2" s="1156">
        <v>0</v>
      </c>
    </row>
    <row customHeight="1" ht="21" hidden="1">
      <c r="A3" s="1364"/>
      <c r="B3" s="1364"/>
      <c r="C3" s="1364"/>
      <c r="D3" s="1364"/>
      <c r="E3" s="2260"/>
      <c r="F3" s="2259">
        <v>1</v>
      </c>
      <c r="G3" s="1364"/>
      <c r="H3" s="1364"/>
      <c r="I3" s="1364"/>
      <c r="J3" s="1364"/>
      <c r="K3" s="1364"/>
      <c r="L3" s="1365"/>
      <c r="M3" s="1366"/>
      <c r="N3" s="1366"/>
      <c r="O3" s="1366"/>
      <c r="P3" s="1333"/>
      <c r="Q3" s="353"/>
      <c r="R3" s="354"/>
      <c r="S3" s="1337">
        <f>INDEX(PT_DIFFERENTIATION_NUM_TER,MATCH(B3,PT_DIFFERENTIATION_TER_ID,0))</f>
      </c>
      <c r="T3" s="309" t="s">
        <v>414</v>
      </c>
      <c r="U3" s="301"/>
      <c r="V3" s="2243"/>
      <c r="W3" s="2244"/>
      <c r="X3" s="2244"/>
      <c r="Y3" s="2244"/>
      <c r="Z3" s="2244"/>
      <c r="AA3" s="2244"/>
      <c r="AB3" s="2244"/>
      <c r="AC3" s="2245"/>
      <c r="AD3" s="2243">
        <f>INDEX(PT_DIFFERENTIATION_TER,MATCH(B3,PT_DIFFERENTIATION_TER_ID,0))</f>
      </c>
      <c r="AE3" s="2244"/>
      <c r="AF3" s="2244"/>
      <c r="AG3" s="2244"/>
      <c r="AH3" s="2244"/>
      <c r="AI3" s="2244"/>
      <c r="AJ3" s="2244"/>
      <c r="AK3" s="2244"/>
      <c r="AL3" s="2243"/>
      <c r="AM3" s="2244"/>
      <c r="AN3" s="2244"/>
      <c r="AO3" s="2244"/>
      <c r="AP3" s="2244"/>
      <c r="AQ3" s="2244"/>
      <c r="AR3" s="2244"/>
      <c r="AS3" s="2899"/>
      <c r="AT3" s="2245"/>
      <c r="AU3" s="1259" t="s">
        <v>415</v>
      </c>
      <c r="AW3" s="501"/>
      <c r="AX3" s="501" t="str">
        <f>IF(T3="","",T3)</f>
        <v>Территория действия тарифа</v>
      </c>
      <c r="AY3" s="501"/>
      <c r="AZ3" s="501"/>
      <c r="BA3" s="1156">
        <v>0</v>
      </c>
    </row>
    <row customHeight="1" ht="23.25" hidden="1">
      <c r="A4" s="1364"/>
      <c r="B4" s="1364"/>
      <c r="C4" s="1364"/>
      <c r="D4" s="1364"/>
      <c r="E4" s="2260"/>
      <c r="F4" s="2260"/>
      <c r="G4" s="2259">
        <v>1</v>
      </c>
      <c r="H4" s="1364"/>
      <c r="I4" s="1364"/>
      <c r="J4" s="1364"/>
      <c r="K4" s="1364"/>
      <c r="L4" s="1365"/>
      <c r="M4" s="1366"/>
      <c r="N4" s="1366"/>
      <c r="O4" s="1366"/>
      <c r="P4" s="355"/>
      <c r="Q4" s="353"/>
      <c r="R4" s="354"/>
      <c r="S4" s="1337">
        <f>INDEX(PT_DIFFERENTIATION_NUM_CS,MATCH(C4,PT_DIFFERENTIATION_CS_ID,0))</f>
      </c>
      <c r="T4" s="310" t="s">
        <v>416</v>
      </c>
      <c r="U4" s="301"/>
      <c r="V4" s="2243"/>
      <c r="W4" s="2244"/>
      <c r="X4" s="2244"/>
      <c r="Y4" s="2244"/>
      <c r="Z4" s="2244"/>
      <c r="AA4" s="2244"/>
      <c r="AB4" s="2244"/>
      <c r="AC4" s="2245"/>
      <c r="AD4" s="2243">
        <f>INDEX(PT_DIFFERENTIATION_CS,MATCH(C4,PT_DIFFERENTIATION_CS_ID,0))</f>
      </c>
      <c r="AE4" s="2244"/>
      <c r="AF4" s="2244"/>
      <c r="AG4" s="2244"/>
      <c r="AH4" s="2244"/>
      <c r="AI4" s="2244"/>
      <c r="AJ4" s="2244"/>
      <c r="AK4" s="2244"/>
      <c r="AL4" s="2243"/>
      <c r="AM4" s="2244"/>
      <c r="AN4" s="2244"/>
      <c r="AO4" s="2244"/>
      <c r="AP4" s="2244"/>
      <c r="AQ4" s="2244"/>
      <c r="AR4" s="2244"/>
      <c r="AS4" s="2899"/>
      <c r="AT4" s="2245"/>
      <c r="AU4" s="1259" t="s">
        <v>417</v>
      </c>
      <c r="AW4" s="501"/>
      <c r="AX4" s="501" t="str">
        <f>IF(T4="","",T4)</f>
        <v>Наименование системы теплоснабжения </v>
      </c>
      <c r="AY4" s="501"/>
      <c r="AZ4" s="501"/>
      <c r="BA4" s="1156">
        <v>0</v>
      </c>
    </row>
    <row customHeight="1" ht="21" hidden="1">
      <c r="A5" s="1364"/>
      <c r="B5" s="1364"/>
      <c r="C5" s="1364"/>
      <c r="D5" s="1364"/>
      <c r="E5" s="2260"/>
      <c r="F5" s="2260"/>
      <c r="G5" s="2260"/>
      <c r="H5" s="2259">
        <v>1</v>
      </c>
      <c r="I5" s="1364"/>
      <c r="J5" s="1364"/>
      <c r="K5" s="1364"/>
      <c r="L5" s="1365"/>
      <c r="M5" s="1366"/>
      <c r="N5" s="1366"/>
      <c r="O5" s="1366"/>
      <c r="P5" s="355"/>
      <c r="Q5" s="353"/>
      <c r="R5" s="354"/>
      <c r="S5" s="1337">
        <f>INDEX(PT_DIFFERENTIATION_NUM_IST_TE,MATCH(D5,PT_DIFFERENTIATION_IST_TE_ID,0))</f>
      </c>
      <c r="T5" s="311" t="s">
        <v>418</v>
      </c>
      <c r="U5" s="301"/>
      <c r="V5" s="2243"/>
      <c r="W5" s="2244"/>
      <c r="X5" s="2244"/>
      <c r="Y5" s="2244"/>
      <c r="Z5" s="2244"/>
      <c r="AA5" s="2244"/>
      <c r="AB5" s="2244"/>
      <c r="AC5" s="2245"/>
      <c r="AD5" s="2243">
        <f>INDEX(PT_DIFFERENTIATION_IST_TE,MATCH(D5,PT_DIFFERENTIATION_IST_TE_ID,0))</f>
      </c>
      <c r="AE5" s="2244"/>
      <c r="AF5" s="2244"/>
      <c r="AG5" s="2244"/>
      <c r="AH5" s="2244"/>
      <c r="AI5" s="2244"/>
      <c r="AJ5" s="2244"/>
      <c r="AK5" s="2244"/>
      <c r="AL5" s="2243"/>
      <c r="AM5" s="2244"/>
      <c r="AN5" s="2244"/>
      <c r="AO5" s="2244"/>
      <c r="AP5" s="2244"/>
      <c r="AQ5" s="2244"/>
      <c r="AR5" s="2244"/>
      <c r="AS5" s="2899"/>
      <c r="AT5" s="2245"/>
      <c r="AU5" s="1259" t="s">
        <v>419</v>
      </c>
      <c r="AW5" s="501"/>
      <c r="AX5" s="501" t="str">
        <f>IF(T5="","",T5)</f>
        <v>Источник тепловой энергии  </v>
      </c>
      <c r="AY5" s="501"/>
      <c r="AZ5" s="501"/>
      <c r="BA5" s="1156">
        <v>0</v>
      </c>
    </row>
    <row customHeight="1" ht="47.25" hidden="1">
      <c r="A6" s="1364"/>
      <c r="B6" s="1364"/>
      <c r="C6" s="1364"/>
      <c r="D6" s="1364"/>
      <c r="E6" s="2260"/>
      <c r="F6" s="2260"/>
      <c r="G6" s="2260"/>
      <c r="H6" s="2260"/>
      <c r="I6" s="2257">
        <f>S5&amp;".1"</f>
      </c>
      <c r="J6" s="1364"/>
      <c r="K6" s="1364"/>
      <c r="L6" s="1365" t="s">
        <v>420</v>
      </c>
      <c r="M6" s="538"/>
      <c r="P6" s="2258">
        <v>1</v>
      </c>
      <c r="Q6" s="1332"/>
      <c r="R6" s="357"/>
      <c r="S6" s="1337">
        <f>$I6</f>
      </c>
      <c r="T6" s="286" t="s">
        <v>421</v>
      </c>
      <c r="U6" s="301"/>
      <c r="V6" s="2246"/>
      <c r="W6" s="2247"/>
      <c r="X6" s="2247"/>
      <c r="Y6" s="2247"/>
      <c r="Z6" s="2247"/>
      <c r="AA6" s="2247"/>
      <c r="AB6" s="2247"/>
      <c r="AC6" s="2248"/>
      <c r="AD6" s="2246"/>
      <c r="AE6" s="2247"/>
      <c r="AF6" s="2247"/>
      <c r="AG6" s="2247"/>
      <c r="AH6" s="2247"/>
      <c r="AI6" s="2247"/>
      <c r="AJ6" s="2247"/>
      <c r="AK6" s="2247"/>
      <c r="AL6" s="2246"/>
      <c r="AM6" s="2247"/>
      <c r="AN6" s="2247"/>
      <c r="AO6" s="2247"/>
      <c r="AP6" s="2247"/>
      <c r="AQ6" s="2247"/>
      <c r="AR6" s="2247"/>
      <c r="AS6" s="2900"/>
      <c r="AT6" s="2248"/>
      <c r="AU6" s="1259" t="s">
        <v>422</v>
      </c>
      <c r="AW6" s="501"/>
      <c r="AX6" s="501" t="str">
        <f>IF(T6="","",T6)</f>
        <v>Схема подключения теплопотребляющей установки к коллектору источника тепловой энергии</v>
      </c>
      <c r="AY6" s="501"/>
      <c r="AZ6" s="501"/>
      <c r="BA6" s="1156">
        <v>0</v>
      </c>
    </row>
    <row customHeight="1" ht="21" hidden="1">
      <c r="A7" s="1364"/>
      <c r="B7" s="1364"/>
      <c r="C7" s="1364"/>
      <c r="D7" s="1364"/>
      <c r="E7" s="2260"/>
      <c r="F7" s="2260"/>
      <c r="G7" s="2260"/>
      <c r="H7" s="2260"/>
      <c r="I7" s="2287"/>
      <c r="J7" s="2257">
        <f>I6&amp;".1"</f>
      </c>
      <c r="K7" s="1364"/>
      <c r="L7" s="1365" t="s">
        <v>423</v>
      </c>
      <c r="M7" s="538"/>
      <c r="N7" s="1367"/>
      <c r="P7" s="2258"/>
      <c r="Q7" s="2258">
        <v>1</v>
      </c>
      <c r="R7" s="358"/>
      <c r="S7" s="1337">
        <f>$J7</f>
      </c>
      <c r="T7" s="287" t="s">
        <v>424</v>
      </c>
      <c r="U7" s="301"/>
      <c r="V7" s="2246"/>
      <c r="W7" s="2247"/>
      <c r="X7" s="2247"/>
      <c r="Y7" s="2247"/>
      <c r="Z7" s="2247"/>
      <c r="AA7" s="2247"/>
      <c r="AB7" s="2247"/>
      <c r="AC7" s="2248"/>
      <c r="AD7" s="2246"/>
      <c r="AE7" s="2247"/>
      <c r="AF7" s="2247"/>
      <c r="AG7" s="2247"/>
      <c r="AH7" s="2247"/>
      <c r="AI7" s="2247"/>
      <c r="AJ7" s="2247"/>
      <c r="AK7" s="2247"/>
      <c r="AL7" s="2246"/>
      <c r="AM7" s="2247"/>
      <c r="AN7" s="2247"/>
      <c r="AO7" s="2247"/>
      <c r="AP7" s="2247"/>
      <c r="AQ7" s="2247"/>
      <c r="AR7" s="2247"/>
      <c r="AS7" s="2900"/>
      <c r="AT7" s="2248"/>
      <c r="AU7" s="1259" t="s">
        <v>425</v>
      </c>
      <c r="AW7" s="501"/>
      <c r="AX7" s="501" t="str">
        <f>IF(T7="","",T7)</f>
        <v>Группа потребителей</v>
      </c>
      <c r="AY7" s="501"/>
      <c r="AZ7" s="501"/>
      <c r="BA7" s="1156">
        <v>0</v>
      </c>
    </row>
    <row customHeight="1" ht="21" hidden="1">
      <c r="A8" s="1364"/>
      <c r="B8" s="1364"/>
      <c r="C8" s="1364"/>
      <c r="D8" s="1364"/>
      <c r="E8" s="2260"/>
      <c r="F8" s="2260"/>
      <c r="G8" s="2260"/>
      <c r="H8" s="2260"/>
      <c r="I8" s="2287"/>
      <c r="J8" s="2287"/>
      <c r="K8" s="2257">
        <f>J7&amp;".1"</f>
      </c>
      <c r="L8" s="1365" t="s">
        <v>426</v>
      </c>
      <c r="M8" s="538"/>
      <c r="N8" s="1367"/>
      <c r="O8" s="1367"/>
      <c r="P8" s="2258"/>
      <c r="Q8" s="2258"/>
      <c r="R8" s="358">
        <v>1</v>
      </c>
      <c r="S8" s="1337">
        <f>$K8</f>
      </c>
      <c r="T8" s="1348"/>
      <c r="U8" s="301"/>
      <c r="V8" s="752"/>
      <c r="W8" s="326"/>
      <c r="X8" s="752"/>
      <c r="Y8" s="1258"/>
      <c r="Z8" s="2266"/>
      <c r="AA8" s="2108" t="s">
        <v>61</v>
      </c>
      <c r="AB8" s="2266"/>
      <c r="AC8" s="2108" t="s">
        <v>61</v>
      </c>
      <c r="AD8" s="752"/>
      <c r="AE8" s="326"/>
      <c r="AF8" s="752"/>
      <c r="AG8" s="1258"/>
      <c r="AH8" s="2266"/>
      <c r="AI8" s="2108" t="s">
        <v>61</v>
      </c>
      <c r="AJ8" s="2266"/>
      <c r="AK8" s="2108" t="s">
        <v>61</v>
      </c>
      <c r="AL8" s="752"/>
      <c r="AM8" s="326"/>
      <c r="AN8" s="752"/>
      <c r="AO8" s="1258"/>
      <c r="AP8" s="2603"/>
      <c r="AQ8" s="2108" t="s">
        <v>61</v>
      </c>
      <c r="AR8" s="2603"/>
      <c r="AS8" s="2901" t="s">
        <v>61</v>
      </c>
      <c r="AT8" s="326"/>
      <c r="AU8" s="2254" t="s">
        <v>427</v>
      </c>
      <c r="AV8" s="512">
        <f>STRCHECKDATE(V9:AT9)</f>
      </c>
      <c r="AW8" s="501"/>
      <c r="AX8" s="501" t="str">
        <f>IF(T8="","",T8)</f>
        <v/>
      </c>
      <c r="AY8" s="501"/>
      <c r="AZ8" s="501"/>
      <c r="BA8" s="1156">
        <v>0</v>
      </c>
    </row>
    <row customHeight="1" ht="0.75" hidden="1">
      <c r="A9" s="1364"/>
      <c r="B9" s="1364"/>
      <c r="C9" s="1364"/>
      <c r="D9" s="1364"/>
      <c r="E9" s="2260"/>
      <c r="F9" s="2260"/>
      <c r="G9" s="2260"/>
      <c r="H9" s="2260"/>
      <c r="I9" s="2287"/>
      <c r="J9" s="2287"/>
      <c r="K9" s="2257"/>
      <c r="L9" s="1365"/>
      <c r="M9" s="538"/>
      <c r="N9" s="1367"/>
      <c r="O9" s="1367"/>
      <c r="P9" s="2258"/>
      <c r="Q9" s="2258"/>
      <c r="R9" s="358"/>
      <c r="S9" s="1343"/>
      <c r="T9" s="301"/>
      <c r="U9" s="301"/>
      <c r="V9" s="326"/>
      <c r="W9" s="326"/>
      <c r="X9" s="326"/>
      <c r="Y9" s="329" t="str">
        <f>Z8&amp;"-"&amp;AB8</f>
        <v>-</v>
      </c>
      <c r="Z9" s="2267"/>
      <c r="AA9" s="2108"/>
      <c r="AB9" s="2267"/>
      <c r="AC9" s="2108"/>
      <c r="AD9" s="326"/>
      <c r="AE9" s="326"/>
      <c r="AF9" s="326"/>
      <c r="AG9" s="329" t="str">
        <f>AH8&amp;"-"&amp;AJ8</f>
        <v>-</v>
      </c>
      <c r="AH9" s="2267"/>
      <c r="AI9" s="2108"/>
      <c r="AJ9" s="2267"/>
      <c r="AK9" s="2108"/>
      <c r="AL9" s="326"/>
      <c r="AM9" s="326"/>
      <c r="AN9" s="326"/>
      <c r="AO9" s="329" t="str">
        <f>AP8&amp;"-"&amp;AR8</f>
        <v>-</v>
      </c>
      <c r="AP9" s="2310"/>
      <c r="AQ9" s="2108"/>
      <c r="AR9" s="2310"/>
      <c r="AS9" s="2108"/>
      <c r="AT9" s="326"/>
      <c r="AU9" s="2255"/>
      <c r="AW9" s="501"/>
      <c r="AX9" s="501" t="str">
        <f>IF(T9="","",T9)</f>
        <v/>
      </c>
      <c r="AY9" s="501"/>
      <c r="AZ9" s="501"/>
      <c r="BA9" s="1156">
        <v>0</v>
      </c>
    </row>
    <row customHeight="1" ht="15" hidden="1">
      <c r="A10" s="1364"/>
      <c r="B10" s="1364"/>
      <c r="C10" s="1364"/>
      <c r="D10" s="1364"/>
      <c r="E10" s="2260"/>
      <c r="F10" s="2260"/>
      <c r="G10" s="2260"/>
      <c r="H10" s="2260"/>
      <c r="I10" s="2287"/>
      <c r="J10" s="2257"/>
      <c r="K10" s="1364"/>
      <c r="L10" s="1365"/>
      <c r="M10" s="538"/>
      <c r="N10" s="1367"/>
      <c r="P10" s="2258"/>
      <c r="Q10" s="2258"/>
      <c r="R10" s="357"/>
      <c r="S10" s="1279"/>
      <c r="T10" s="289" t="s">
        <v>428</v>
      </c>
      <c r="U10" s="368"/>
      <c r="V10" s="368"/>
      <c r="W10" s="368"/>
      <c r="X10" s="368"/>
      <c r="Y10" s="368"/>
      <c r="Z10" s="368"/>
      <c r="AA10" s="368"/>
      <c r="AB10" s="368"/>
      <c r="AC10" s="368"/>
      <c r="AD10" s="368"/>
      <c r="AE10" s="368"/>
      <c r="AF10" s="368"/>
      <c r="AG10" s="368"/>
      <c r="AH10" s="368"/>
      <c r="AI10" s="368"/>
      <c r="AJ10" s="368"/>
      <c r="AK10" s="368"/>
      <c r="AL10" s="2680"/>
      <c r="AM10" s="2681"/>
      <c r="AN10" s="2682"/>
      <c r="AO10" s="2683"/>
      <c r="AP10" s="2684"/>
      <c r="AQ10" s="2685"/>
      <c r="AR10" s="2686"/>
      <c r="AS10" s="2902"/>
      <c r="AT10" s="325"/>
      <c r="AU10" s="2256"/>
      <c r="AW10" s="501"/>
      <c r="AX10" s="501" t="str">
        <f>IF(T10="","",T10)</f>
        <v>Добавить вид теплоносителя (параметры теплоносителя)</v>
      </c>
      <c r="AY10" s="501"/>
      <c r="AZ10" s="501"/>
      <c r="BA10" s="1156">
        <v>0</v>
      </c>
    </row>
    <row customHeight="1" ht="15" hidden="1">
      <c r="A11" s="1364"/>
      <c r="B11" s="1364"/>
      <c r="C11" s="1364"/>
      <c r="D11" s="1364"/>
      <c r="E11" s="2260"/>
      <c r="F11" s="2260"/>
      <c r="G11" s="2260"/>
      <c r="H11" s="2260"/>
      <c r="I11" s="2257"/>
      <c r="J11" s="1364"/>
      <c r="K11" s="1364"/>
      <c r="L11" s="1365"/>
      <c r="M11" s="538"/>
      <c r="P11" s="2258"/>
      <c r="Q11" s="1332"/>
      <c r="R11" s="357"/>
      <c r="S11" s="1279"/>
      <c r="T11" s="288" t="s">
        <v>429</v>
      </c>
      <c r="U11" s="368"/>
      <c r="V11" s="368"/>
      <c r="W11" s="368"/>
      <c r="X11" s="368"/>
      <c r="Y11" s="368"/>
      <c r="Z11" s="368"/>
      <c r="AA11" s="368"/>
      <c r="AB11" s="368"/>
      <c r="AC11" s="367"/>
      <c r="AD11" s="368"/>
      <c r="AE11" s="368"/>
      <c r="AF11" s="368"/>
      <c r="AG11" s="368"/>
      <c r="AH11" s="368"/>
      <c r="AI11" s="368"/>
      <c r="AJ11" s="368"/>
      <c r="AK11" s="367"/>
      <c r="AL11" s="2688"/>
      <c r="AM11" s="2689"/>
      <c r="AN11" s="2690"/>
      <c r="AO11" s="2691"/>
      <c r="AP11" s="2692"/>
      <c r="AQ11" s="2693"/>
      <c r="AR11" s="2694"/>
      <c r="AS11" s="2903"/>
      <c r="AT11" s="368"/>
      <c r="AU11" s="304"/>
      <c r="AW11" s="501"/>
      <c r="AX11" s="501" t="str">
        <f>IF(T11="","",T11)</f>
        <v>Добавить группу потребителей</v>
      </c>
      <c r="AY11" s="501"/>
      <c r="AZ11" s="501"/>
      <c r="BA11" s="1156">
        <v>0</v>
      </c>
    </row>
    <row customHeight="1" ht="14.25" hidden="1">
      <c r="A12" s="1364"/>
      <c r="B12" s="1364"/>
      <c r="C12" s="1364"/>
      <c r="D12" s="1364"/>
      <c r="E12" s="2260"/>
      <c r="F12" s="2260"/>
      <c r="G12" s="2260"/>
      <c r="H12" s="2259"/>
      <c r="I12" s="1364"/>
      <c r="J12" s="1364"/>
      <c r="K12" s="1364"/>
      <c r="L12" s="1365"/>
      <c r="M12" s="1366"/>
      <c r="N12" s="1366"/>
      <c r="O12" s="538"/>
      <c r="P12" s="361"/>
      <c r="Q12" s="376"/>
      <c r="R12" s="356"/>
      <c r="S12" s="1279"/>
      <c r="T12" s="366" t="s">
        <v>430</v>
      </c>
      <c r="U12" s="368"/>
      <c r="V12" s="368"/>
      <c r="W12" s="368"/>
      <c r="X12" s="368"/>
      <c r="Y12" s="368"/>
      <c r="Z12" s="368"/>
      <c r="AA12" s="368"/>
      <c r="AB12" s="368"/>
      <c r="AC12" s="367"/>
      <c r="AD12" s="368"/>
      <c r="AE12" s="368"/>
      <c r="AF12" s="368"/>
      <c r="AG12" s="368"/>
      <c r="AH12" s="368"/>
      <c r="AI12" s="368"/>
      <c r="AJ12" s="368"/>
      <c r="AK12" s="367"/>
      <c r="AL12" s="2696"/>
      <c r="AM12" s="2697"/>
      <c r="AN12" s="2698"/>
      <c r="AO12" s="2699"/>
      <c r="AP12" s="2700"/>
      <c r="AQ12" s="2701"/>
      <c r="AR12" s="2702"/>
      <c r="AS12" s="2904"/>
      <c r="AT12" s="368"/>
      <c r="AU12" s="304"/>
      <c r="AW12" s="501"/>
      <c r="AX12" s="501" t="str">
        <f>IF(T12="","",T12)</f>
        <v>Добавить схему подключения</v>
      </c>
      <c r="AY12" s="501"/>
      <c r="AZ12" s="501"/>
      <c r="BA12" s="1156">
        <v>0</v>
      </c>
    </row>
    <row s="1643" customFormat="1" customHeight="1" ht="0.75" hidden="1">
      <c r="A13" s="1315"/>
      <c r="B13" s="1315"/>
      <c r="C13" s="1315"/>
      <c r="D13" s="1315"/>
      <c r="E13" s="2260"/>
      <c r="F13" s="2260"/>
      <c r="G13" s="2259"/>
      <c r="H13" s="1315"/>
      <c r="I13" s="1315"/>
      <c r="J13" s="1315"/>
      <c r="K13" s="1315"/>
      <c r="L13" s="1340"/>
      <c r="M13" s="1316"/>
      <c r="N13" s="1316"/>
      <c r="P13" s="1317"/>
      <c r="Q13" s="1318"/>
      <c r="R13" s="1317"/>
      <c r="S13" s="1319"/>
      <c r="T13" s="1320" t="s">
        <v>176</v>
      </c>
      <c r="U13" s="1321"/>
      <c r="V13" s="1321"/>
      <c r="W13" s="1321"/>
      <c r="X13" s="1321"/>
      <c r="Y13" s="1321"/>
      <c r="Z13" s="1321"/>
      <c r="AA13" s="1321"/>
      <c r="AB13" s="1321"/>
      <c r="AC13" s="1321"/>
      <c r="AD13" s="1321"/>
      <c r="AE13" s="1321"/>
      <c r="AF13" s="1321"/>
      <c r="AG13" s="1321"/>
      <c r="AH13" s="1321"/>
      <c r="AI13" s="1321"/>
      <c r="AJ13" s="1321"/>
      <c r="AK13" s="1321"/>
      <c r="AL13" s="1321"/>
      <c r="AM13" s="1321"/>
      <c r="AN13" s="1321"/>
      <c r="AO13" s="1321"/>
      <c r="AP13" s="1321"/>
      <c r="AQ13" s="1321"/>
      <c r="AR13" s="1321"/>
      <c r="AS13" s="2905"/>
      <c r="AT13" s="1321"/>
      <c r="AU13" s="1321"/>
      <c r="AW13" s="790"/>
      <c r="AX13" s="790" t="str">
        <f>IF(T13="","",T13)</f>
        <v>Добавить источник для дифференциации</v>
      </c>
      <c r="AY13" s="790"/>
      <c r="AZ13" s="790"/>
      <c r="BA13" s="519">
        <v>0</v>
      </c>
    </row>
    <row s="1643" customFormat="1" customHeight="1" ht="0.75" hidden="1">
      <c r="A14" s="1315"/>
      <c r="B14" s="1315"/>
      <c r="C14" s="1315"/>
      <c r="D14" s="1315"/>
      <c r="E14" s="2260"/>
      <c r="F14" s="2259"/>
      <c r="G14" s="1315"/>
      <c r="H14" s="1315"/>
      <c r="I14" s="1315"/>
      <c r="J14" s="1315"/>
      <c r="K14" s="1315"/>
      <c r="L14" s="1340"/>
      <c r="M14" s="1322"/>
      <c r="N14" s="1322"/>
      <c r="P14" s="1317"/>
      <c r="Q14" s="1318"/>
      <c r="R14" s="1317"/>
      <c r="S14" s="1323"/>
      <c r="T14" s="1324" t="s">
        <v>177</v>
      </c>
      <c r="U14" s="1325"/>
      <c r="V14" s="1325"/>
      <c r="W14" s="1325"/>
      <c r="X14" s="1325"/>
      <c r="Y14" s="1325"/>
      <c r="Z14" s="1325"/>
      <c r="AA14" s="1325"/>
      <c r="AB14" s="1325"/>
      <c r="AC14" s="1325"/>
      <c r="AD14" s="1325"/>
      <c r="AE14" s="1325"/>
      <c r="AF14" s="1325"/>
      <c r="AG14" s="1325"/>
      <c r="AH14" s="1325"/>
      <c r="AI14" s="1325"/>
      <c r="AJ14" s="1325"/>
      <c r="AK14" s="1325"/>
      <c r="AL14" s="1325"/>
      <c r="AM14" s="1325"/>
      <c r="AN14" s="1325"/>
      <c r="AO14" s="1325"/>
      <c r="AP14" s="1325"/>
      <c r="AQ14" s="1325"/>
      <c r="AR14" s="1325"/>
      <c r="AS14" s="2906"/>
      <c r="AT14" s="1325"/>
      <c r="AU14" s="1325"/>
      <c r="AW14" s="790"/>
      <c r="AX14" s="790" t="str">
        <f>IF(T14="","",T14)</f>
        <v>Добавить централизованную систему для дифференциации</v>
      </c>
      <c r="AY14" s="790"/>
      <c r="AZ14" s="790"/>
      <c r="BA14" s="519">
        <v>0</v>
      </c>
    </row>
    <row s="1643" customFormat="1" customHeight="1" ht="0.75" hidden="1">
      <c r="A15" s="1315"/>
      <c r="B15" s="1315"/>
      <c r="C15" s="1315"/>
      <c r="D15" s="1315"/>
      <c r="E15" s="2259"/>
      <c r="F15" s="1315"/>
      <c r="G15" s="1315"/>
      <c r="H15" s="1315"/>
      <c r="I15" s="1315"/>
      <c r="J15" s="1315"/>
      <c r="K15" s="1315"/>
      <c r="L15" s="1340"/>
      <c r="M15" s="1322"/>
      <c r="N15" s="1322"/>
      <c r="P15" s="1317"/>
      <c r="Q15" s="1318"/>
      <c r="R15" s="1317"/>
      <c r="S15" s="1323"/>
      <c r="T15" s="1326" t="s">
        <v>178</v>
      </c>
      <c r="U15" s="1325"/>
      <c r="V15" s="1325"/>
      <c r="W15" s="1325"/>
      <c r="X15" s="1325"/>
      <c r="Y15" s="1325"/>
      <c r="Z15" s="1325"/>
      <c r="AA15" s="1325"/>
      <c r="AB15" s="1325"/>
      <c r="AC15" s="1325"/>
      <c r="AD15" s="1325"/>
      <c r="AE15" s="1325"/>
      <c r="AF15" s="1325"/>
      <c r="AG15" s="1325"/>
      <c r="AH15" s="1325"/>
      <c r="AI15" s="1325"/>
      <c r="AJ15" s="1325"/>
      <c r="AK15" s="1325"/>
      <c r="AL15" s="1325"/>
      <c r="AM15" s="1325"/>
      <c r="AN15" s="1325"/>
      <c r="AO15" s="1325"/>
      <c r="AP15" s="1325"/>
      <c r="AQ15" s="1325"/>
      <c r="AR15" s="1325"/>
      <c r="AS15" s="2906"/>
      <c r="AT15" s="1325"/>
      <c r="AU15" s="1325"/>
      <c r="AW15" s="790"/>
      <c r="AX15" s="790" t="str">
        <f>IF(T15="","",T15)</f>
        <v>Добавить территорию для дифференциации</v>
      </c>
      <c r="AY15" s="790"/>
      <c r="AZ15" s="790"/>
      <c r="BA15" s="519">
        <v>0</v>
      </c>
    </row>
    <row customHeight="1" ht="14.25" hidden="1">
      <c r="AC16" s="328"/>
      <c r="AK16" s="328"/>
      <c r="AL16" s="1636"/>
      <c r="AM16" s="1636"/>
      <c r="AN16" s="1636"/>
      <c r="AO16" s="1636"/>
      <c r="AP16" s="1636"/>
      <c r="AQ16" s="1636"/>
      <c r="AR16" s="1636"/>
      <c r="AS16" s="2898"/>
      <c r="BA16" s="1156">
        <v>0</v>
      </c>
    </row>
    <row customHeight="1" ht="14.25" hidden="1">
      <c r="AD17" s="1361"/>
      <c r="AE17" s="1361"/>
      <c r="AF17" s="1361"/>
      <c r="AG17" s="1362"/>
      <c r="AH17" s="2268"/>
      <c r="AI17" s="2269" t="s">
        <v>61</v>
      </c>
      <c r="AJ17" s="2268"/>
      <c r="AK17" s="2269" t="s">
        <v>61</v>
      </c>
      <c r="AL17" s="1636"/>
      <c r="AM17" s="1636"/>
      <c r="AN17" s="1636"/>
      <c r="AO17" s="1636"/>
      <c r="AP17" s="1636"/>
      <c r="AQ17" s="1636"/>
      <c r="AR17" s="1636"/>
      <c r="AS17" s="2898"/>
      <c r="BA17" s="1156">
        <v>0</v>
      </c>
    </row>
    <row customHeight="1" ht="14.25" hidden="1">
      <c r="AD18" s="1361"/>
      <c r="AE18" s="1361"/>
      <c r="AF18" s="1361"/>
      <c r="AG18" s="329" t="str">
        <f>AH17&amp;"-"&amp;AJ17</f>
        <v>-</v>
      </c>
      <c r="AH18" s="2269"/>
      <c r="AI18" s="2269"/>
      <c r="AJ18" s="2269"/>
      <c r="AK18" s="2269"/>
      <c r="AL18" s="1636"/>
      <c r="AM18" s="1636"/>
      <c r="AN18" s="1636"/>
      <c r="AO18" s="1636"/>
      <c r="AP18" s="1636"/>
      <c r="AQ18" s="1636"/>
      <c r="AR18" s="1636"/>
      <c r="AS18" s="2898"/>
      <c r="BA18" s="1156">
        <v>0</v>
      </c>
    </row>
    <row customHeight="1" ht="14.25" hidden="1">
      <c r="AK19" s="328"/>
      <c r="AL19" s="1636"/>
      <c r="AM19" s="1636"/>
      <c r="AN19" s="1636"/>
      <c r="AO19" s="1636"/>
      <c r="AP19" s="1636"/>
      <c r="AQ19" s="1636"/>
      <c r="AR19" s="1636"/>
      <c r="AS19" s="2898"/>
      <c r="BA19" s="1156">
        <v>0</v>
      </c>
    </row>
    <row s="1367" customFormat="1" customHeight="1" ht="22.5" hidden="1">
      <c r="L20" s="1330"/>
      <c r="M20" s="1363"/>
      <c r="N20" s="1363"/>
      <c r="O20" s="1368" t="s">
        <v>431</v>
      </c>
      <c r="P20" s="1363"/>
      <c r="Q20" s="1372"/>
      <c r="R20" s="1372"/>
      <c r="S20" s="730"/>
      <c r="Z20" s="1368"/>
      <c r="AB20" s="1368"/>
      <c r="AC20" s="1367"/>
      <c r="AH20" s="1368"/>
      <c r="AJ20" s="1368"/>
      <c r="AK20" s="1367"/>
      <c r="AL20" s="1367"/>
      <c r="AM20" s="1367"/>
      <c r="AN20" s="1367"/>
      <c r="AO20" s="1367"/>
      <c r="AP20" s="1368"/>
      <c r="AQ20" s="1367"/>
      <c r="AR20" s="1368"/>
      <c r="AS20" s="2907"/>
      <c r="AV20" s="512"/>
      <c r="AW20" s="512"/>
      <c r="AX20" s="512"/>
      <c r="AY20" s="512"/>
      <c r="AZ20" s="512"/>
      <c r="BA20" s="1161">
        <v>0</v>
      </c>
    </row>
    <row s="1367" customFormat="1" customHeight="1" ht="14.25" hidden="1">
      <c r="L21" s="1330"/>
      <c r="M21" s="1363"/>
      <c r="N21" s="1363"/>
      <c r="O21" s="1363"/>
      <c r="P21" s="1363"/>
      <c r="Q21" s="1372"/>
      <c r="R21" s="1372"/>
      <c r="S21" s="730"/>
      <c r="AC21" s="1367"/>
      <c r="AK21" s="1367"/>
      <c r="AL21" s="1367"/>
      <c r="AM21" s="1367"/>
      <c r="AN21" s="1367"/>
      <c r="AO21" s="1367"/>
      <c r="AP21" s="1367"/>
      <c r="AQ21" s="1367"/>
      <c r="AR21" s="1367"/>
      <c r="AS21" s="2907"/>
      <c r="AV21" s="512"/>
      <c r="AW21" s="512"/>
      <c r="AX21" s="512"/>
      <c r="AY21" s="512"/>
      <c r="AZ21" s="512"/>
      <c r="BA21" s="1161">
        <v>0</v>
      </c>
    </row>
    <row s="1367" customFormat="1" customHeight="1" ht="14.25" hidden="1">
      <c r="L22" s="1330"/>
      <c r="M22" s="1363"/>
      <c r="N22" s="1363"/>
      <c r="O22" s="1365" t="s">
        <v>432</v>
      </c>
      <c r="P22" s="1363"/>
      <c r="Q22" s="1372"/>
      <c r="R22" s="1372"/>
      <c r="S22" s="730"/>
      <c r="T22" s="1161" t="s">
        <v>433</v>
      </c>
      <c r="AA22" s="187" t="s">
        <v>434</v>
      </c>
      <c r="AC22" s="187" t="s">
        <v>435</v>
      </c>
      <c r="AD22" s="1161" t="s">
        <v>433</v>
      </c>
      <c r="AI22" s="187" t="s">
        <v>436</v>
      </c>
      <c r="AK22" s="187" t="s">
        <v>435</v>
      </c>
      <c r="AL22" s="1367"/>
      <c r="AM22" s="1367"/>
      <c r="AN22" s="1367"/>
      <c r="AO22" s="1367"/>
      <c r="AP22" s="1367"/>
      <c r="AQ22" s="1371" t="s">
        <v>434</v>
      </c>
      <c r="AR22" s="1367"/>
      <c r="AS22" s="2908" t="s">
        <v>435</v>
      </c>
      <c r="AV22" s="512"/>
      <c r="AW22" s="512"/>
      <c r="AX22" s="512"/>
      <c r="AY22" s="512"/>
      <c r="AZ22" s="512"/>
      <c r="BA22" s="1161">
        <v>0</v>
      </c>
    </row>
    <row customHeight="1" ht="14.25" hidden="1">
      <c r="O23" s="1365"/>
      <c r="AL23" s="1636"/>
      <c r="AM23" s="1636"/>
      <c r="AN23" s="1636"/>
      <c r="AO23" s="1636"/>
      <c r="AP23" s="1636"/>
      <c r="AQ23" s="1636"/>
      <c r="AR23" s="1636"/>
      <c r="AS23" s="2898"/>
      <c r="BA23" s="1156">
        <v>0</v>
      </c>
    </row>
    <row customHeight="1" ht="14.25" hidden="1">
      <c r="O24" s="1365"/>
      <c r="AL24" s="1636"/>
      <c r="AM24" s="1636"/>
      <c r="AN24" s="1636"/>
      <c r="AO24" s="1636"/>
      <c r="AP24" s="1636"/>
      <c r="AQ24" s="1636"/>
      <c r="AR24" s="1636"/>
      <c r="AS24" s="2898"/>
      <c r="BA24" s="1156">
        <v>0</v>
      </c>
    </row>
    <row customHeight="1" ht="14.699999999999998">
      <c r="Q25" s="377"/>
      <c r="R25" s="377"/>
      <c r="S25" s="1276"/>
      <c r="T25" s="364"/>
      <c r="U25" s="364"/>
      <c r="V25" s="510"/>
      <c r="W25" s="510"/>
      <c r="X25" s="510"/>
      <c r="Y25" s="510"/>
      <c r="Z25" s="510"/>
      <c r="AA25" s="510"/>
      <c r="AB25" s="510"/>
      <c r="AC25" s="510"/>
      <c r="AD25" s="510"/>
      <c r="AE25" s="510"/>
      <c r="AF25" s="510"/>
      <c r="AG25" s="510"/>
      <c r="AH25" s="510"/>
      <c r="AI25" s="510"/>
      <c r="AJ25" s="510"/>
      <c r="AK25" s="510"/>
      <c r="AL25" s="1636"/>
      <c r="AM25" s="1636"/>
      <c r="AN25" s="1636"/>
      <c r="AO25" s="1636"/>
      <c r="AP25" s="1636"/>
      <c r="AQ25" s="1636"/>
      <c r="AR25" s="1636"/>
      <c r="AS25" s="2898"/>
      <c r="BA25" s="1156">
        <v>14</v>
      </c>
    </row>
    <row customHeight="1" ht="14.699999999999998">
      <c r="Q26" s="377"/>
      <c r="R26" s="377"/>
      <c r="S26" s="2249" t="str">
        <f>IF(TEMPLATE_GROUP="P",PT_P_FORM_HEAT_4_NAME_FORM,PT_R_FORM_HEAT_21_NAME_FORM)</f>
        <v>Форма 19. Информация о предложении регулируемой организации о расчетной величине тарифов в сфере теплоснабжения на очередной расчетный период регулирования</v>
      </c>
      <c r="T26" s="2249"/>
      <c r="U26" s="2249"/>
      <c r="V26" s="2249"/>
      <c r="W26" s="2249"/>
      <c r="X26" s="2249"/>
      <c r="Y26" s="2249"/>
      <c r="Z26" s="2249"/>
      <c r="AA26" s="2249"/>
      <c r="AB26" s="2249"/>
      <c r="AC26" s="2249"/>
      <c r="AD26" s="2249"/>
      <c r="AE26" s="2249"/>
      <c r="AF26" s="2249"/>
      <c r="AG26" s="2249"/>
      <c r="AH26" s="2249"/>
      <c r="AI26" s="2249"/>
      <c r="AJ26" s="2249"/>
      <c r="AK26" s="1244"/>
      <c r="AL26" s="2249"/>
      <c r="AM26" s="2249"/>
      <c r="AN26" s="2249"/>
      <c r="AO26" s="2249"/>
      <c r="AP26" s="2249"/>
      <c r="AQ26" s="2249"/>
      <c r="AR26" s="2249"/>
      <c r="AS26" s="2909"/>
      <c r="BA26" s="1156">
        <v>14</v>
      </c>
    </row>
    <row customHeight="1" ht="14.699999999999998">
      <c r="Q27" s="377"/>
      <c r="R27" s="377"/>
      <c r="S27" s="2250" t="str">
        <f>IF(org=0,"Не определено",org)</f>
        <v>ПАО "КГК"</v>
      </c>
      <c r="T27" s="2250"/>
      <c r="U27" s="2250"/>
      <c r="V27" s="2250"/>
      <c r="W27" s="2250"/>
      <c r="X27" s="2250"/>
      <c r="Y27" s="2250"/>
      <c r="Z27" s="2250"/>
      <c r="AA27" s="2250"/>
      <c r="AB27" s="2250"/>
      <c r="AC27" s="2250"/>
      <c r="AD27" s="2250"/>
      <c r="AE27" s="2250"/>
      <c r="AF27" s="2250"/>
      <c r="AG27" s="2250"/>
      <c r="AH27" s="2250"/>
      <c r="AI27" s="2250"/>
      <c r="AJ27" s="2250"/>
      <c r="AK27" s="1244"/>
      <c r="AL27" s="2250"/>
      <c r="AM27" s="2250"/>
      <c r="AN27" s="2250"/>
      <c r="AO27" s="2250"/>
      <c r="AP27" s="2250"/>
      <c r="AQ27" s="2250"/>
      <c r="AR27" s="2250"/>
      <c r="AS27" s="2910"/>
      <c r="BA27" s="1156">
        <v>14</v>
      </c>
    </row>
    <row customHeight="1" ht="14.25" hidden="1">
      <c r="Q28" s="377"/>
      <c r="R28" s="377"/>
      <c r="S28" s="1276"/>
      <c r="T28" s="364"/>
      <c r="U28" s="364"/>
      <c r="V28" s="323"/>
      <c r="W28" s="323"/>
      <c r="X28" s="323"/>
      <c r="Y28" s="323"/>
      <c r="Z28" s="323"/>
      <c r="AA28" s="323"/>
      <c r="AB28" s="323"/>
      <c r="AC28" s="323"/>
      <c r="AD28" s="323"/>
      <c r="AE28" s="323"/>
      <c r="AF28" s="323"/>
      <c r="AG28" s="323"/>
      <c r="AH28" s="323"/>
      <c r="AI28" s="323"/>
      <c r="AJ28" s="323"/>
      <c r="AK28" s="323"/>
      <c r="AL28" s="323"/>
      <c r="AM28" s="323"/>
      <c r="AN28" s="323"/>
      <c r="AO28" s="323"/>
      <c r="AP28" s="323"/>
      <c r="AQ28" s="323"/>
      <c r="AR28" s="323"/>
      <c r="AS28" s="2911"/>
      <c r="AT28" s="510"/>
      <c r="BA28" s="1156">
        <v>0</v>
      </c>
    </row>
    <row s="1854" customFormat="1" customHeight="1" ht="25.5" hidden="1">
      <c r="A29" s="1369"/>
      <c r="B29" s="1369"/>
      <c r="C29" s="1369"/>
      <c r="D29" s="1369"/>
      <c r="E29" s="1369"/>
      <c r="F29" s="1369"/>
      <c r="G29" s="1369"/>
      <c r="H29" s="1369"/>
      <c r="I29" s="1369"/>
      <c r="J29" s="1369"/>
      <c r="K29" s="1369"/>
      <c r="L29" s="1370"/>
      <c r="M29" s="1369"/>
      <c r="N29" s="1369"/>
      <c r="O29" s="1369"/>
      <c r="S29" s="2251" t="s">
        <v>42</v>
      </c>
      <c r="T29" s="2251"/>
      <c r="U29" s="1373"/>
      <c r="V29" s="2252" t="str">
        <f>IF(TITLE_NAME_OR_PR_CHANGE="",IF(TITLE_NAME_OR_PR="","",TITLE_NAME_OR_PR),TITLE_NAME_OR_PR_CHANGE)</f>
        <v/>
      </c>
      <c r="W29" s="2252"/>
      <c r="X29" s="2252"/>
      <c r="Y29" s="2252"/>
      <c r="Z29" s="2252"/>
      <c r="AA29" s="2252"/>
      <c r="AB29" s="2252"/>
      <c r="AC29" s="327"/>
      <c r="AD29" s="2252" t="str">
        <f>IF(TITLE_NAME_OR_PR_CHANGE="",IF(TITLE_NAME_OR_PR="","",TITLE_NAME_OR_PR),TITLE_NAME_OR_PR_CHANGE)</f>
        <v/>
      </c>
      <c r="AE29" s="2252"/>
      <c r="AF29" s="2252"/>
      <c r="AG29" s="2252"/>
      <c r="AH29" s="2252"/>
      <c r="AI29" s="2252"/>
      <c r="AJ29" s="2252"/>
      <c r="AK29" s="327"/>
      <c r="AL29" s="2252" t="str">
        <f>IF(TITLE_NAME_OR_PR_CHANGE="",IF(TITLE_NAME_OR_PR="","",TITLE_NAME_OR_PR),TITLE_NAME_OR_PR_CHANGE)</f>
        <v/>
      </c>
      <c r="AM29" s="2252"/>
      <c r="AN29" s="2252"/>
      <c r="AO29" s="2252"/>
      <c r="AP29" s="2252"/>
      <c r="AQ29" s="2252"/>
      <c r="AR29" s="2252"/>
      <c r="AS29" s="2898"/>
      <c r="AT29" s="327"/>
      <c r="AU29" s="281"/>
      <c r="AV29" s="369"/>
      <c r="AW29" s="369"/>
      <c r="AX29" s="369"/>
      <c r="AY29" s="369"/>
      <c r="AZ29" s="369"/>
      <c r="BA29" s="419">
        <v>0</v>
      </c>
    </row>
    <row s="1854" customFormat="1" customHeight="1" ht="18.75" hidden="1">
      <c r="A30" s="1369"/>
      <c r="B30" s="1369"/>
      <c r="C30" s="1369"/>
      <c r="D30" s="1369"/>
      <c r="E30" s="1369"/>
      <c r="F30" s="1369"/>
      <c r="G30" s="1369"/>
      <c r="H30" s="1369"/>
      <c r="I30" s="1369"/>
      <c r="J30" s="1369"/>
      <c r="K30" s="1369"/>
      <c r="L30" s="1370"/>
      <c r="M30" s="1369"/>
      <c r="N30" s="1369"/>
      <c r="O30" s="1369"/>
      <c r="S30" s="2251" t="s">
        <v>437</v>
      </c>
      <c r="T30" s="2251"/>
      <c r="U30" s="1373"/>
      <c r="V30" s="2265" t="str">
        <f>IF(TITLE_DATE_PR_CHANGE="",IF(TITLE_DATE_PR="","",TITLE_DATE_PR),TITLE_DATE_PR_CHANGE)</f>
        <v>46142</v>
      </c>
      <c r="W30" s="2265"/>
      <c r="X30" s="2265"/>
      <c r="Y30" s="2265"/>
      <c r="Z30" s="2265"/>
      <c r="AA30" s="2265"/>
      <c r="AB30" s="2265"/>
      <c r="AC30" s="327"/>
      <c r="AD30" s="2265" t="str">
        <f>IF(TITLE_DATE_PR_CHANGE="",IF(TITLE_DATE_PR="","",TITLE_DATE_PR),TITLE_DATE_PR_CHANGE)</f>
        <v>46142</v>
      </c>
      <c r="AE30" s="2265"/>
      <c r="AF30" s="2265"/>
      <c r="AG30" s="2265"/>
      <c r="AH30" s="2265"/>
      <c r="AI30" s="2265"/>
      <c r="AJ30" s="2265"/>
      <c r="AK30" s="327"/>
      <c r="AL30" s="2265" t="str">
        <f>IF(TITLE_DATE_PR_CHANGE="",IF(TITLE_DATE_PR="","",TITLE_DATE_PR),TITLE_DATE_PR_CHANGE)</f>
        <v>46142</v>
      </c>
      <c r="AM30" s="2265"/>
      <c r="AN30" s="2265"/>
      <c r="AO30" s="2265"/>
      <c r="AP30" s="2265"/>
      <c r="AQ30" s="2265"/>
      <c r="AR30" s="2265"/>
      <c r="AS30" s="2898"/>
      <c r="AT30" s="327"/>
      <c r="AU30" s="281"/>
      <c r="AV30" s="369"/>
      <c r="AW30" s="369"/>
      <c r="AX30" s="369"/>
      <c r="AY30" s="369"/>
      <c r="AZ30" s="369"/>
      <c r="BA30" s="419">
        <v>0</v>
      </c>
    </row>
    <row s="1854" customFormat="1" customHeight="1" ht="18.75" hidden="1">
      <c r="A31" s="1369"/>
      <c r="B31" s="1369"/>
      <c r="C31" s="1369"/>
      <c r="D31" s="1369"/>
      <c r="E31" s="1369"/>
      <c r="F31" s="1369"/>
      <c r="G31" s="1369"/>
      <c r="H31" s="1369"/>
      <c r="I31" s="1369"/>
      <c r="J31" s="1369"/>
      <c r="K31" s="1369"/>
      <c r="L31" s="1370"/>
      <c r="M31" s="1369"/>
      <c r="N31" s="1369"/>
      <c r="O31" s="1369"/>
      <c r="S31" s="2251" t="s">
        <v>438</v>
      </c>
      <c r="T31" s="2251"/>
      <c r="U31" s="1373"/>
      <c r="V31" s="2252" t="str">
        <f>IF(TITLE_NUMBER_PR_CHANGE="",IF(TITLE_NUMBER_PR="","",TITLE_NUMBER_PR),TITLE_NUMBER_PR_CHANGE)</f>
        <v>206Т</v>
      </c>
      <c r="W31" s="2252"/>
      <c r="X31" s="2252"/>
      <c r="Y31" s="2252"/>
      <c r="Z31" s="2252"/>
      <c r="AA31" s="2252"/>
      <c r="AB31" s="2252"/>
      <c r="AC31" s="327"/>
      <c r="AD31" s="2252" t="str">
        <f>IF(TITLE_NUMBER_PR_CHANGE="",IF(TITLE_NUMBER_PR="","",TITLE_NUMBER_PR),TITLE_NUMBER_PR_CHANGE)</f>
        <v>206Т</v>
      </c>
      <c r="AE31" s="2252"/>
      <c r="AF31" s="2252"/>
      <c r="AG31" s="2252"/>
      <c r="AH31" s="2252"/>
      <c r="AI31" s="2252"/>
      <c r="AJ31" s="2252"/>
      <c r="AK31" s="327"/>
      <c r="AL31" s="2252" t="str">
        <f>IF(TITLE_NUMBER_PR_CHANGE="",IF(TITLE_NUMBER_PR="","",TITLE_NUMBER_PR),TITLE_NUMBER_PR_CHANGE)</f>
        <v>206Т</v>
      </c>
      <c r="AM31" s="2252"/>
      <c r="AN31" s="2252"/>
      <c r="AO31" s="2252"/>
      <c r="AP31" s="2252"/>
      <c r="AQ31" s="2252"/>
      <c r="AR31" s="2252"/>
      <c r="AS31" s="2898"/>
      <c r="AT31" s="327"/>
      <c r="AU31" s="281"/>
      <c r="AV31" s="369"/>
      <c r="AW31" s="369"/>
      <c r="AX31" s="369"/>
      <c r="AY31" s="369"/>
      <c r="AZ31" s="369"/>
      <c r="BA31" s="419">
        <v>0</v>
      </c>
    </row>
    <row s="1854" customFormat="1" customHeight="1" ht="18.75" hidden="1">
      <c r="A32" s="1369"/>
      <c r="B32" s="1369"/>
      <c r="C32" s="1369"/>
      <c r="D32" s="1369"/>
      <c r="E32" s="1369"/>
      <c r="F32" s="1369"/>
      <c r="G32" s="1369"/>
      <c r="H32" s="1369"/>
      <c r="I32" s="1369"/>
      <c r="J32" s="1369"/>
      <c r="K32" s="1369"/>
      <c r="L32" s="1370"/>
      <c r="M32" s="1369"/>
      <c r="N32" s="1369"/>
      <c r="O32" s="1369"/>
      <c r="S32" s="2251" t="s">
        <v>43</v>
      </c>
      <c r="T32" s="2251"/>
      <c r="U32" s="1373"/>
      <c r="V32" s="2252" t="str">
        <f>IF(TITLE_IST_PUB_CHANGE="",IF(TITLE_IST_PUB="","",TITLE_IST_PUB),TITLE_IST_PUB_CHANGE)</f>
        <v/>
      </c>
      <c r="W32" s="2252"/>
      <c r="X32" s="2252"/>
      <c r="Y32" s="2252"/>
      <c r="Z32" s="2252"/>
      <c r="AA32" s="2252"/>
      <c r="AB32" s="2252"/>
      <c r="AC32" s="327"/>
      <c r="AD32" s="2252" t="str">
        <f>IF(TITLE_IST_PUB_CHANGE="",IF(TITLE_IST_PUB="","",TITLE_IST_PUB),TITLE_IST_PUB_CHANGE)</f>
        <v/>
      </c>
      <c r="AE32" s="2252"/>
      <c r="AF32" s="2252"/>
      <c r="AG32" s="2252"/>
      <c r="AH32" s="2252"/>
      <c r="AI32" s="2252"/>
      <c r="AJ32" s="2252"/>
      <c r="AK32" s="327"/>
      <c r="AL32" s="2252" t="str">
        <f>IF(TITLE_IST_PUB_CHANGE="",IF(TITLE_IST_PUB="","",TITLE_IST_PUB),TITLE_IST_PUB_CHANGE)</f>
        <v/>
      </c>
      <c r="AM32" s="2252"/>
      <c r="AN32" s="2252"/>
      <c r="AO32" s="2252"/>
      <c r="AP32" s="2252"/>
      <c r="AQ32" s="2252"/>
      <c r="AR32" s="2252"/>
      <c r="AS32" s="2898"/>
      <c r="AT32" s="327"/>
      <c r="AU32" s="281"/>
      <c r="AV32" s="369"/>
      <c r="AW32" s="369"/>
      <c r="AX32" s="369"/>
      <c r="AY32" s="369"/>
      <c r="AZ32" s="369"/>
      <c r="BA32" s="419">
        <v>0</v>
      </c>
    </row>
    <row customHeight="1" ht="14.25">
      <c r="Q33" s="377"/>
      <c r="R33" s="377"/>
      <c r="S33" s="1276"/>
      <c r="T33" s="364"/>
      <c r="U33" s="364"/>
      <c r="V33" s="323"/>
      <c r="W33" s="323"/>
      <c r="X33" s="323"/>
      <c r="Y33" s="323"/>
      <c r="Z33" s="323"/>
      <c r="AA33" s="323"/>
      <c r="AB33" s="323"/>
      <c r="AC33" s="323"/>
      <c r="AD33" s="323"/>
      <c r="AE33" s="323"/>
      <c r="AF33" s="323"/>
      <c r="AG33" s="323"/>
      <c r="AH33" s="323"/>
      <c r="AI33" s="323"/>
      <c r="AJ33" s="323"/>
      <c r="AK33" s="323"/>
      <c r="AL33" s="323"/>
      <c r="AM33" s="323"/>
      <c r="AN33" s="323"/>
      <c r="AO33" s="323"/>
      <c r="AP33" s="323"/>
      <c r="AQ33" s="323"/>
      <c r="AR33" s="323"/>
      <c r="AS33" s="2911"/>
      <c r="AT33" s="510"/>
      <c r="BA33" s="1156">
        <v>0</v>
      </c>
    </row>
    <row s="1854" customFormat="1" customHeight="1" ht="18.75">
      <c r="A34" s="1369"/>
      <c r="B34" s="1369"/>
      <c r="C34" s="1369"/>
      <c r="D34" s="1369"/>
      <c r="E34" s="1369"/>
      <c r="F34" s="1369"/>
      <c r="G34" s="1369"/>
      <c r="H34" s="1369"/>
      <c r="I34" s="1369"/>
      <c r="J34" s="1369"/>
      <c r="K34" s="1369"/>
      <c r="L34" s="1370"/>
      <c r="M34" s="1369"/>
      <c r="N34" s="1369"/>
      <c r="O34" s="1369"/>
      <c r="S34" s="2251" t="s">
        <v>439</v>
      </c>
      <c r="T34" s="2251"/>
      <c r="U34" s="1373"/>
      <c r="V34" s="2265" t="str">
        <f>IF(TITLE_DATE_PR_CHANGE="",IF(TITLE_DATE_PR="","",TITLE_DATE_PR),TITLE_DATE_PR_CHANGE)</f>
        <v>46142</v>
      </c>
      <c r="W34" s="2265"/>
      <c r="X34" s="2265"/>
      <c r="Y34" s="2265"/>
      <c r="Z34" s="2265"/>
      <c r="AA34" s="2265"/>
      <c r="AB34" s="2265"/>
      <c r="AC34" s="327"/>
      <c r="AD34" s="2265" t="str">
        <f>IF(TITLE_DATE_PR_CHANGE="",IF(TITLE_DATE_PR="","",TITLE_DATE_PR),TITLE_DATE_PR_CHANGE)</f>
        <v>46142</v>
      </c>
      <c r="AE34" s="2265"/>
      <c r="AF34" s="2265"/>
      <c r="AG34" s="2265"/>
      <c r="AH34" s="2265"/>
      <c r="AI34" s="2265"/>
      <c r="AJ34" s="2265"/>
      <c r="AK34" s="327"/>
      <c r="AL34" s="2265" t="str">
        <f>IF(TITLE_DATE_PR_CHANGE="",IF(TITLE_DATE_PR="","",TITLE_DATE_PR),TITLE_DATE_PR_CHANGE)</f>
        <v>46142</v>
      </c>
      <c r="AM34" s="2265"/>
      <c r="AN34" s="2265"/>
      <c r="AO34" s="2265"/>
      <c r="AP34" s="2265"/>
      <c r="AQ34" s="2265"/>
      <c r="AR34" s="2265"/>
      <c r="AS34" s="2898"/>
      <c r="AT34" s="327"/>
      <c r="AU34" s="281"/>
      <c r="AV34" s="369"/>
      <c r="AW34" s="369"/>
      <c r="AX34" s="369"/>
      <c r="AY34" s="369"/>
      <c r="AZ34" s="369"/>
      <c r="BA34" s="419">
        <v>0</v>
      </c>
    </row>
    <row s="1854" customFormat="1" customHeight="1" ht="18.75">
      <c r="A35" s="1369"/>
      <c r="B35" s="1369"/>
      <c r="C35" s="1369"/>
      <c r="D35" s="1369"/>
      <c r="E35" s="1369"/>
      <c r="F35" s="1369"/>
      <c r="G35" s="1369"/>
      <c r="H35" s="1369"/>
      <c r="I35" s="1369"/>
      <c r="J35" s="1369"/>
      <c r="K35" s="1369"/>
      <c r="L35" s="1370"/>
      <c r="M35" s="1369"/>
      <c r="N35" s="1369"/>
      <c r="O35" s="1369"/>
      <c r="S35" s="2251" t="s">
        <v>440</v>
      </c>
      <c r="T35" s="2251"/>
      <c r="U35" s="1373"/>
      <c r="V35" s="2252" t="str">
        <f>IF(TITLE_NUMBER_PR_CHANGE="",IF(TITLE_NUMBER_PR="","",TITLE_NUMBER_PR),TITLE_NUMBER_PR_CHANGE)</f>
        <v>206Т</v>
      </c>
      <c r="W35" s="2252"/>
      <c r="X35" s="2252"/>
      <c r="Y35" s="2252"/>
      <c r="Z35" s="2252"/>
      <c r="AA35" s="2252"/>
      <c r="AB35" s="2252"/>
      <c r="AC35" s="327"/>
      <c r="AD35" s="2252" t="str">
        <f>IF(TITLE_NUMBER_PR_CHANGE="",IF(TITLE_NUMBER_PR="","",TITLE_NUMBER_PR),TITLE_NUMBER_PR_CHANGE)</f>
        <v>206Т</v>
      </c>
      <c r="AE35" s="2252"/>
      <c r="AF35" s="2252"/>
      <c r="AG35" s="2252"/>
      <c r="AH35" s="2252"/>
      <c r="AI35" s="2252"/>
      <c r="AJ35" s="2252"/>
      <c r="AK35" s="327"/>
      <c r="AL35" s="2252" t="str">
        <f>IF(TITLE_NUMBER_PR_CHANGE="",IF(TITLE_NUMBER_PR="","",TITLE_NUMBER_PR),TITLE_NUMBER_PR_CHANGE)</f>
        <v>206Т</v>
      </c>
      <c r="AM35" s="2252"/>
      <c r="AN35" s="2252"/>
      <c r="AO35" s="2252"/>
      <c r="AP35" s="2252"/>
      <c r="AQ35" s="2252"/>
      <c r="AR35" s="2252"/>
      <c r="AS35" s="2898"/>
      <c r="AT35" s="327"/>
      <c r="AU35" s="281"/>
      <c r="AV35" s="369"/>
      <c r="AW35" s="369"/>
      <c r="AX35" s="369"/>
      <c r="AY35" s="369"/>
      <c r="AZ35" s="369"/>
      <c r="BA35" s="419">
        <v>0</v>
      </c>
    </row>
    <row s="1854" customFormat="1" customHeight="1" ht="0">
      <c r="A36" s="1369"/>
      <c r="B36" s="1369"/>
      <c r="C36" s="1369"/>
      <c r="D36" s="1369"/>
      <c r="E36" s="1369"/>
      <c r="F36" s="1369"/>
      <c r="G36" s="1369"/>
      <c r="H36" s="1369"/>
      <c r="I36" s="1369"/>
      <c r="J36" s="1369"/>
      <c r="K36" s="1369"/>
      <c r="L36" s="1370"/>
      <c r="M36" s="1369"/>
      <c r="N36" s="1369"/>
      <c r="O36" s="1369"/>
      <c r="S36" s="324"/>
      <c r="T36" s="324"/>
      <c r="U36" s="1341"/>
      <c r="V36" s="327"/>
      <c r="W36" s="327"/>
      <c r="X36" s="327"/>
      <c r="Y36" s="327"/>
      <c r="Z36" s="327"/>
      <c r="AA36" s="327"/>
      <c r="AB36" s="327"/>
      <c r="AC36" s="279" t="s">
        <v>441</v>
      </c>
      <c r="AD36" s="327"/>
      <c r="AE36" s="327"/>
      <c r="AF36" s="327"/>
      <c r="AG36" s="327"/>
      <c r="AH36" s="327"/>
      <c r="AI36" s="327"/>
      <c r="AJ36" s="327"/>
      <c r="AK36" s="279" t="s">
        <v>441</v>
      </c>
      <c r="AL36" s="1636"/>
      <c r="AM36" s="1636"/>
      <c r="AN36" s="1636"/>
      <c r="AO36" s="1636"/>
      <c r="AP36" s="1636"/>
      <c r="AQ36" s="1636"/>
      <c r="AR36" s="1636"/>
      <c r="AS36" s="2912" t="s">
        <v>441</v>
      </c>
      <c r="AV36" s="369"/>
      <c r="AW36" s="369"/>
      <c r="AX36" s="369"/>
      <c r="AY36" s="369"/>
      <c r="AZ36" s="369"/>
      <c r="BA36" s="419">
        <v>0</v>
      </c>
    </row>
    <row customHeight="1" ht="14.699999999999998">
      <c r="Q37" s="377"/>
      <c r="R37" s="377"/>
      <c r="S37" s="1276"/>
      <c r="T37" s="364"/>
      <c r="U37" s="1245"/>
      <c r="V37" s="2253"/>
      <c r="W37" s="2253"/>
      <c r="X37" s="2253"/>
      <c r="Y37" s="2253"/>
      <c r="Z37" s="2253"/>
      <c r="AA37" s="2253"/>
      <c r="AB37" s="2253"/>
      <c r="AC37" s="2253"/>
      <c r="AD37" s="2253"/>
      <c r="AE37" s="2253"/>
      <c r="AF37" s="2253"/>
      <c r="AG37" s="2253"/>
      <c r="AH37" s="2253"/>
      <c r="AI37" s="2253"/>
      <c r="AJ37" s="2253"/>
      <c r="AK37" s="2253"/>
      <c r="AL37" s="2253" t="s">
        <v>104</v>
      </c>
      <c r="AM37" s="2253"/>
      <c r="AN37" s="2253"/>
      <c r="AO37" s="2253"/>
      <c r="AP37" s="2253"/>
      <c r="AQ37" s="2253"/>
      <c r="AR37" s="2253"/>
      <c r="AS37" s="2913"/>
      <c r="BA37" s="1156">
        <v>14</v>
      </c>
    </row>
    <row customHeight="1" ht="15">
      <c r="Q38" s="377"/>
      <c r="R38" s="377"/>
      <c r="S38" s="2128" t="s">
        <v>317</v>
      </c>
      <c r="T38" s="2128"/>
      <c r="U38" s="2128"/>
      <c r="V38" s="2128"/>
      <c r="W38" s="2128"/>
      <c r="X38" s="2128"/>
      <c r="Y38" s="2128"/>
      <c r="Z38" s="2128"/>
      <c r="AA38" s="2128"/>
      <c r="AB38" s="2128"/>
      <c r="AC38" s="2128"/>
      <c r="AD38" s="2128"/>
      <c r="AE38" s="2128"/>
      <c r="AF38" s="2128"/>
      <c r="AG38" s="2128"/>
      <c r="AH38" s="2128"/>
      <c r="AI38" s="2128"/>
      <c r="AJ38" s="2128"/>
      <c r="AK38" s="2128"/>
      <c r="AL38" s="2313" t="s">
        <v>317</v>
      </c>
      <c r="AM38" s="2313"/>
      <c r="AN38" s="2313"/>
      <c r="AO38" s="2313"/>
      <c r="AP38" s="2313"/>
      <c r="AQ38" s="2313"/>
      <c r="AR38" s="2313"/>
      <c r="AS38" s="2914"/>
      <c r="AT38" s="2128"/>
      <c r="AU38" s="2128"/>
      <c r="BA38" s="1156"/>
    </row>
    <row customHeight="1" ht="14.699999999999998">
      <c r="Q39" s="377"/>
      <c r="R39" s="377"/>
      <c r="S39" s="2274" t="s">
        <v>89</v>
      </c>
      <c r="T39" s="2210" t="s">
        <v>442</v>
      </c>
      <c r="U39" s="302"/>
      <c r="V39" s="2275" t="s">
        <v>443</v>
      </c>
      <c r="W39" s="2276"/>
      <c r="X39" s="2276"/>
      <c r="Y39" s="2276"/>
      <c r="Z39" s="2276"/>
      <c r="AA39" s="2276"/>
      <c r="AB39" s="2277"/>
      <c r="AC39" s="2278" t="s">
        <v>444</v>
      </c>
      <c r="AD39" s="2275" t="s">
        <v>443</v>
      </c>
      <c r="AE39" s="2276"/>
      <c r="AF39" s="2276"/>
      <c r="AG39" s="2276"/>
      <c r="AH39" s="2276"/>
      <c r="AI39" s="2276"/>
      <c r="AJ39" s="2277"/>
      <c r="AK39" s="2278" t="s">
        <v>445</v>
      </c>
      <c r="AL39" s="2400" t="s">
        <v>443</v>
      </c>
      <c r="AM39" s="2401"/>
      <c r="AN39" s="2401"/>
      <c r="AO39" s="2401"/>
      <c r="AP39" s="2401"/>
      <c r="AQ39" s="2401"/>
      <c r="AR39" s="2402"/>
      <c r="AS39" s="2915" t="s">
        <v>444</v>
      </c>
      <c r="AT39" s="2281" t="s">
        <v>446</v>
      </c>
      <c r="AU39" s="2128"/>
      <c r="BA39" s="1156">
        <v>14</v>
      </c>
    </row>
    <row customHeight="1" ht="35.699999999999996">
      <c r="Q40" s="377"/>
      <c r="R40" s="377"/>
      <c r="S40" s="2274"/>
      <c r="T40" s="2210"/>
      <c r="U40" s="1032"/>
      <c r="V40" s="2261" t="s">
        <v>447</v>
      </c>
      <c r="W40" s="2284" t="s">
        <v>448</v>
      </c>
      <c r="X40" s="2263" t="s">
        <v>449</v>
      </c>
      <c r="Y40" s="2264"/>
      <c r="Z40" s="2263" t="s">
        <v>462</v>
      </c>
      <c r="AA40" s="2270"/>
      <c r="AB40" s="2264"/>
      <c r="AC40" s="2279"/>
      <c r="AD40" s="2261" t="s">
        <v>447</v>
      </c>
      <c r="AE40" s="2284" t="s">
        <v>448</v>
      </c>
      <c r="AF40" s="2263" t="s">
        <v>449</v>
      </c>
      <c r="AG40" s="2264"/>
      <c r="AH40" s="2263" t="s">
        <v>450</v>
      </c>
      <c r="AI40" s="2270"/>
      <c r="AJ40" s="2264"/>
      <c r="AK40" s="2279"/>
      <c r="AL40" s="2261" t="s">
        <v>447</v>
      </c>
      <c r="AM40" s="2611" t="s">
        <v>448</v>
      </c>
      <c r="AN40" s="2263" t="s">
        <v>449</v>
      </c>
      <c r="AO40" s="2264"/>
      <c r="AP40" s="2263" t="s">
        <v>462</v>
      </c>
      <c r="AQ40" s="2270"/>
      <c r="AR40" s="2264"/>
      <c r="AS40" s="2916"/>
      <c r="AT40" s="2282"/>
      <c r="AU40" s="2128"/>
      <c r="BA40" s="1156">
        <v>34</v>
      </c>
    </row>
    <row customHeight="1" ht="35.699999999999996">
      <c r="A41" s="1371"/>
      <c r="B41" s="1371" t="s">
        <v>143</v>
      </c>
      <c r="C41" s="1371" t="s">
        <v>144</v>
      </c>
      <c r="D41" s="1371" t="s">
        <v>145</v>
      </c>
      <c r="E41" s="1365" t="s">
        <v>451</v>
      </c>
      <c r="F41" s="1365" t="s">
        <v>452</v>
      </c>
      <c r="G41" s="1365" t="s">
        <v>453</v>
      </c>
      <c r="H41" s="1365" t="s">
        <v>454</v>
      </c>
      <c r="I41" s="1365" t="s">
        <v>455</v>
      </c>
      <c r="J41" s="1365" t="s">
        <v>456</v>
      </c>
      <c r="K41" s="1365" t="s">
        <v>457</v>
      </c>
      <c r="L41" s="1365" t="s">
        <v>432</v>
      </c>
      <c r="Q41" s="377"/>
      <c r="R41" s="377"/>
      <c r="S41" s="2274"/>
      <c r="T41" s="2210"/>
      <c r="U41" s="303"/>
      <c r="V41" s="2262"/>
      <c r="W41" s="2285"/>
      <c r="X41" s="1223" t="s">
        <v>458</v>
      </c>
      <c r="Y41" s="1223" t="s">
        <v>459</v>
      </c>
      <c r="Z41" s="1339" t="s">
        <v>460</v>
      </c>
      <c r="AA41" s="2271" t="s">
        <v>461</v>
      </c>
      <c r="AB41" s="2272"/>
      <c r="AC41" s="2280"/>
      <c r="AD41" s="2262"/>
      <c r="AE41" s="2285"/>
      <c r="AF41" s="1223" t="s">
        <v>458</v>
      </c>
      <c r="AG41" s="1223" t="s">
        <v>459</v>
      </c>
      <c r="AH41" s="1339" t="s">
        <v>460</v>
      </c>
      <c r="AI41" s="2271" t="s">
        <v>461</v>
      </c>
      <c r="AJ41" s="2272"/>
      <c r="AK41" s="2280"/>
      <c r="AL41" s="2262"/>
      <c r="AM41" s="2285"/>
      <c r="AN41" s="2578" t="s">
        <v>458</v>
      </c>
      <c r="AO41" s="2578" t="s">
        <v>459</v>
      </c>
      <c r="AP41" s="2578" t="s">
        <v>460</v>
      </c>
      <c r="AQ41" s="2271" t="s">
        <v>461</v>
      </c>
      <c r="AR41" s="2272"/>
      <c r="AS41" s="2917"/>
      <c r="AT41" s="2283"/>
      <c r="AU41" s="2128"/>
      <c r="BA41" s="1156">
        <v>34</v>
      </c>
    </row>
    <row s="1642" customFormat="1" customHeight="1" ht="11.25" hidden="1">
      <c r="A42" s="1371"/>
      <c r="B42" s="1371"/>
      <c r="C42" s="1371"/>
      <c r="D42" s="1371"/>
      <c r="E42" s="1371"/>
      <c r="F42" s="1371"/>
      <c r="G42" s="1371"/>
      <c r="H42" s="1371"/>
      <c r="I42" s="1371"/>
      <c r="J42" s="1371"/>
      <c r="K42" s="1371"/>
      <c r="L42" s="1365"/>
      <c r="M42" s="1363"/>
      <c r="N42" s="1363"/>
      <c r="O42" s="1363"/>
      <c r="P42" s="1247"/>
      <c r="Q42" s="1248"/>
      <c r="R42" s="1255">
        <v>1</v>
      </c>
      <c r="S42" s="1278" t="s">
        <v>118</v>
      </c>
      <c r="T42" s="1256" t="s">
        <v>103</v>
      </c>
      <c r="U42" s="1246" t="str">
        <f>OFFSET(U42,0,-1)</f>
        <v>2</v>
      </c>
      <c r="V42" s="1336">
        <f>OFFSET(V42,0,-1)+1</f>
        <v>3</v>
      </c>
      <c r="W42" s="1336"/>
      <c r="X42" s="1336">
        <f>OFFSET(X42,0,-1)+1</f>
        <v>1</v>
      </c>
      <c r="Y42" s="1336">
        <f>OFFSET(Y42,0,-1)+1</f>
        <v>2</v>
      </c>
      <c r="Z42" s="1336">
        <f>OFFSET(Z42,0,-1)+1</f>
        <v>3</v>
      </c>
      <c r="AA42" s="2273">
        <f>OFFSET(AA42,0,-1)+1</f>
        <v>4</v>
      </c>
      <c r="AB42" s="2273"/>
      <c r="AC42" s="1336">
        <f>OFFSET(AC42,0,-2)+1</f>
        <v>5</v>
      </c>
      <c r="AD42" s="1336">
        <f>OFFSET(AD42,0,-1)+1</f>
        <v>6</v>
      </c>
      <c r="AE42" s="1336"/>
      <c r="AF42" s="1336">
        <f>OFFSET(AF42,0,-1)+1</f>
        <v>1</v>
      </c>
      <c r="AG42" s="1336">
        <f>OFFSET(AG42,0,-1)+1</f>
        <v>2</v>
      </c>
      <c r="AH42" s="1336">
        <f>OFFSET(AH42,0,-1)+1</f>
        <v>3</v>
      </c>
      <c r="AI42" s="2273">
        <f>OFFSET(AI42,0,-1)+1</f>
        <v>4</v>
      </c>
      <c r="AJ42" s="2273"/>
      <c r="AK42" s="1336">
        <f>OFFSET(AK42,0,-2)+1</f>
        <v>5</v>
      </c>
      <c r="AL42" s="2273">
        <f>OFFSET(AL42,0,-1)+1</f>
        <v>6</v>
      </c>
      <c r="AM42" s="2273"/>
      <c r="AN42" s="2273">
        <f>OFFSET(AN42,0,-1)+1</f>
        <v>1</v>
      </c>
      <c r="AO42" s="2273">
        <f>OFFSET(AO42,0,-1)+1</f>
        <v>2</v>
      </c>
      <c r="AP42" s="2273">
        <f>OFFSET(AP42,0,-1)+1</f>
        <v>3</v>
      </c>
      <c r="AQ42" s="2273">
        <f>OFFSET(AQ42,0,-1)+1</f>
        <v>4</v>
      </c>
      <c r="AR42" s="2273"/>
      <c r="AS42" s="2918">
        <f>OFFSET(AS42,0,-2)+1</f>
        <v>5</v>
      </c>
      <c r="AT42" s="1246">
        <f>OFFSET(AT42,0,-1)</f>
        <v>5</v>
      </c>
      <c r="AU42" s="1336">
        <f>OFFSET(AU42,0,-1)+1</f>
        <v>6</v>
      </c>
      <c r="AV42" s="512"/>
      <c r="AW42" s="512"/>
      <c r="AX42" s="512"/>
      <c r="AY42" s="512"/>
      <c r="AZ42" s="512"/>
      <c r="BA42" s="497">
        <v>0</v>
      </c>
    </row>
    <row customHeight="1" ht="22.049999999999997">
      <c r="A43" s="1364" t="s">
        <v>172</v>
      </c>
      <c r="B43" s="1364"/>
      <c r="C43" s="1364"/>
      <c r="D43" s="1364"/>
      <c r="E43" s="2259">
        <v>1</v>
      </c>
      <c r="F43" s="1364"/>
      <c r="G43" s="1364"/>
      <c r="H43" s="1364"/>
      <c r="I43" s="1364"/>
      <c r="J43" s="1364"/>
      <c r="K43" s="1364"/>
      <c r="L43" s="1365"/>
      <c r="M43" s="1366"/>
      <c r="N43" s="1366"/>
      <c r="O43" s="1366"/>
      <c r="P43" s="362"/>
      <c r="Q43" s="361"/>
      <c r="R43" s="356"/>
      <c r="S43" s="1337">
        <f>INDEX(PT_DIFFERENTIATION_NUM_NTAR,MATCH(A43,PT_DIFFERENTIATION_NTAR_ID,0))</f>
        <v>1</v>
      </c>
      <c r="T43" s="299" t="s">
        <v>131</v>
      </c>
      <c r="U43" s="301"/>
      <c r="V43" s="2243"/>
      <c r="W43" s="2244"/>
      <c r="X43" s="2244"/>
      <c r="Y43" s="2244"/>
      <c r="Z43" s="2244"/>
      <c r="AA43" s="2244"/>
      <c r="AB43" s="2244"/>
      <c r="AC43" s="2245"/>
      <c r="AD43" s="2243" t="str">
        <f>INDEX(PT_DIFFERENTIATION_NTAR,MATCH(A43,PT_DIFFERENTIATION_NTAR_ID,0))</f>
        <v>Тарифы на тепловую энергию (мощность) на коллекторах источников тепловой энергии</v>
      </c>
      <c r="AE43" s="2244"/>
      <c r="AF43" s="2244"/>
      <c r="AG43" s="2244"/>
      <c r="AH43" s="2244"/>
      <c r="AI43" s="2244"/>
      <c r="AJ43" s="2244"/>
      <c r="AK43" s="2244"/>
      <c r="AL43" s="2243"/>
      <c r="AM43" s="2244"/>
      <c r="AN43" s="2244"/>
      <c r="AO43" s="2244"/>
      <c r="AP43" s="2244"/>
      <c r="AQ43" s="2244"/>
      <c r="AR43" s="2244"/>
      <c r="AS43" s="2899"/>
      <c r="AT43" s="2245"/>
      <c r="AU43" s="1259" t="str">
        <f>IF(TEMPLATE_GROUP="P","По данной форме раскрывается в том числе информация об индикативном предельном уровне цены на тепловую энергию (мощность), который определен в соответствии с Правилами определения в ценовых зонах теплоснабжения предельного уровня "&amp;"цены на тепловую энергию (мощность), включая правила индексации предельного уровня цены на тепловую энергию (мощность), "&amp;"утвержденными постановлением Правительства Российской Федерации от 15 декабря 2017 г. N 1562 (далее - Правила), о графике поэтапного равномерного доведения предельного уровня цены на тепловую энергию (мощность) до уровня, "&amp;"определяемого в соответствии с указанными "&amp;"Правилами, а также информация о тарифах на товары (услуги) в сфере теплоснабжения в случаях, указанных частях 12 1 - 12 4 статьи 10 Федерального закона от 27 июля 2010 г. N 190-ФЗ ""О теплоснабжении"", "&amp;"теплоснабжающей организации, теплосетевой организации в ценовых зонах теплоснабжения. Для каждого вида тарифа в сфере теплоснабжения форма заполняется отдельно."&amp;"
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"&amp;"об установлении цены (тарифа), источник официального опубликования решения об установлении цены (тарифа) в сфере теплоснабжения.","Для каждого вида тарифа в сфере теплоснабжения форма заполняется отдельно.
"&amp;"В соответствии с данной формой раскрывается информация о расчетной величине тарифов в сфере теплоснабжения на товары (услуги) в случаях, указанных в частях 12 1 - 12 4 статьи 10 Федерального закона от 27 июля 2010 г. N 190-ФЗ ""О теплоснабжении"". "&amp;"Указывается наименование тарифа в случае "&amp;IF(TEMPLATE_GROUP="P","утверждения","предложения")&amp;" нескольких тарифов.
В случае наличия нескольких тарифов информация по ним указывается в отдельных строках.")</f>
        <v>Для каждого вида тарифа в сфере теплоснабжения форма заполняется отдельно.
В соответствии с данной формой раскрывается информация о расчетной величине тарифов в сфере теплоснабжения на товары (услуги) в случаях, указанных в частях 12 1 - 12 4 статьи 10 Федерального закона от 27 июля 2010 г. N 190-ФЗ "О теплоснабжении". Указывается наименование тарифа в случае предложения нескольких тарифов.
В случае наличия нескольких тарифов информация по ним указывается в отдельных строках.</v>
      </c>
      <c r="AW43" s="501"/>
      <c r="AX43" s="501" t="str">
        <f>IF(T43="","",T43)</f>
        <v>Наименование тарифа</v>
      </c>
      <c r="AY43" s="501"/>
      <c r="AZ43" s="501"/>
      <c r="BA43" s="1156">
        <v>21</v>
      </c>
    </row>
    <row customHeight="1" ht="22.049999999999997">
      <c r="A44" s="1364" t="s">
        <v>172</v>
      </c>
      <c r="B44" s="1364" t="s">
        <v>173</v>
      </c>
      <c r="C44" s="1364"/>
      <c r="D44" s="1364"/>
      <c r="E44" s="2260"/>
      <c r="F44" s="2259">
        <v>1</v>
      </c>
      <c r="G44" s="1364"/>
      <c r="H44" s="1364"/>
      <c r="I44" s="1364"/>
      <c r="J44" s="1364"/>
      <c r="K44" s="1364"/>
      <c r="L44" s="1365"/>
      <c r="M44" s="1366"/>
      <c r="N44" s="1366"/>
      <c r="O44" s="1366"/>
      <c r="P44" s="1333"/>
      <c r="Q44" s="353"/>
      <c r="R44" s="354"/>
      <c r="S44" s="1337" t="str">
        <f>INDEX(PT_DIFFERENTIATION_NUM_TER,MATCH(B44,PT_DIFFERENTIATION_TER_ID,0))</f>
        <v>1.1</v>
      </c>
      <c r="T44" s="309" t="s">
        <v>414</v>
      </c>
      <c r="U44" s="301"/>
      <c r="V44" s="2243"/>
      <c r="W44" s="2244"/>
      <c r="X44" s="2244"/>
      <c r="Y44" s="2244"/>
      <c r="Z44" s="2244"/>
      <c r="AA44" s="2244"/>
      <c r="AB44" s="2244"/>
      <c r="AC44" s="2245"/>
      <c r="AD44" s="2243" t="str">
        <f>INDEX(PT_DIFFERENTIATION_TER,MATCH(B44,PT_DIFFERENTIATION_TER_ID,0))</f>
        <v>Территория 1</v>
      </c>
      <c r="AE44" s="2244"/>
      <c r="AF44" s="2244"/>
      <c r="AG44" s="2244"/>
      <c r="AH44" s="2244"/>
      <c r="AI44" s="2244"/>
      <c r="AJ44" s="2244"/>
      <c r="AK44" s="2244"/>
      <c r="AL44" s="2243"/>
      <c r="AM44" s="2244"/>
      <c r="AN44" s="2244"/>
      <c r="AO44" s="2244"/>
      <c r="AP44" s="2244"/>
      <c r="AQ44" s="2244"/>
      <c r="AR44" s="2244"/>
      <c r="AS44" s="2899"/>
      <c r="AT44" s="2245"/>
      <c r="AU44" s="1259" t="s">
        <v>415</v>
      </c>
      <c r="AW44" s="501"/>
      <c r="AX44" s="501" t="str">
        <f>IF(T44="","",T44)</f>
        <v>Территория действия тарифа</v>
      </c>
      <c r="AY44" s="501"/>
      <c r="AZ44" s="501"/>
      <c r="BA44" s="1156">
        <v>21</v>
      </c>
    </row>
    <row customHeight="1" ht="24">
      <c r="A45" s="1364" t="s">
        <v>172</v>
      </c>
      <c r="B45" s="1364" t="s">
        <v>173</v>
      </c>
      <c r="C45" s="1364" t="s">
        <v>174</v>
      </c>
      <c r="D45" s="1364"/>
      <c r="E45" s="2260"/>
      <c r="F45" s="2260"/>
      <c r="G45" s="2259">
        <v>1</v>
      </c>
      <c r="H45" s="1364"/>
      <c r="I45" s="1364"/>
      <c r="J45" s="1364"/>
      <c r="K45" s="1364"/>
      <c r="L45" s="1365"/>
      <c r="M45" s="1366"/>
      <c r="N45" s="1366"/>
      <c r="O45" s="1366"/>
      <c r="P45" s="355"/>
      <c r="Q45" s="353"/>
      <c r="R45" s="354"/>
      <c r="S45" s="1337" t="str">
        <f>INDEX(PT_DIFFERENTIATION_NUM_CS,MATCH(C45,PT_DIFFERENTIATION_CS_ID,0))</f>
        <v>1.1.1</v>
      </c>
      <c r="T45" s="310" t="s">
        <v>416</v>
      </c>
      <c r="U45" s="301"/>
      <c r="V45" s="2243"/>
      <c r="W45" s="2244"/>
      <c r="X45" s="2244"/>
      <c r="Y45" s="2244"/>
      <c r="Z45" s="2244"/>
      <c r="AA45" s="2244"/>
      <c r="AB45" s="2244"/>
      <c r="AC45" s="2245"/>
      <c r="AD45" s="2243" t="str">
        <f>INDEX(PT_DIFFERENTIATION_CS,MATCH(C45,PT_DIFFERENTIATION_CS_ID,0))</f>
        <v>без дифференциации</v>
      </c>
      <c r="AE45" s="2244"/>
      <c r="AF45" s="2244"/>
      <c r="AG45" s="2244"/>
      <c r="AH45" s="2244"/>
      <c r="AI45" s="2244"/>
      <c r="AJ45" s="2244"/>
      <c r="AK45" s="2244"/>
      <c r="AL45" s="2243"/>
      <c r="AM45" s="2244"/>
      <c r="AN45" s="2244"/>
      <c r="AO45" s="2244"/>
      <c r="AP45" s="2244"/>
      <c r="AQ45" s="2244"/>
      <c r="AR45" s="2244"/>
      <c r="AS45" s="2899"/>
      <c r="AT45" s="2245"/>
      <c r="AU45" s="1259" t="s">
        <v>417</v>
      </c>
      <c r="AW45" s="501"/>
      <c r="AX45" s="501" t="str">
        <f>IF(T45="","",T45)</f>
        <v>Наименование системы теплоснабжения </v>
      </c>
      <c r="AY45" s="501"/>
      <c r="AZ45" s="501"/>
      <c r="BA45" s="1156">
        <v>23</v>
      </c>
    </row>
    <row customHeight="1" ht="22.049999999999997">
      <c r="A46" s="1364" t="s">
        <v>172</v>
      </c>
      <c r="B46" s="1364" t="s">
        <v>173</v>
      </c>
      <c r="C46" s="1364" t="s">
        <v>174</v>
      </c>
      <c r="D46" s="1364" t="s">
        <v>175</v>
      </c>
      <c r="E46" s="2260"/>
      <c r="F46" s="2260"/>
      <c r="G46" s="2260"/>
      <c r="H46" s="2259">
        <v>1</v>
      </c>
      <c r="I46" s="1364"/>
      <c r="J46" s="1364"/>
      <c r="K46" s="1364"/>
      <c r="L46" s="1365"/>
      <c r="M46" s="1366"/>
      <c r="N46" s="1366"/>
      <c r="O46" s="1366"/>
      <c r="P46" s="355"/>
      <c r="Q46" s="353"/>
      <c r="R46" s="354"/>
      <c r="S46" s="1337" t="str">
        <f>INDEX(PT_DIFFERENTIATION_NUM_IST_TE,MATCH(D46,PT_DIFFERENTIATION_IST_TE_ID,0))</f>
        <v>1.1.1.1</v>
      </c>
      <c r="T46" s="311" t="s">
        <v>418</v>
      </c>
      <c r="U46" s="301"/>
      <c r="V46" s="2243"/>
      <c r="W46" s="2244"/>
      <c r="X46" s="2244"/>
      <c r="Y46" s="2244"/>
      <c r="Z46" s="2244"/>
      <c r="AA46" s="2244"/>
      <c r="AB46" s="2244"/>
      <c r="AC46" s="2245"/>
      <c r="AD46" s="2243" t="str">
        <f>INDEX(PT_DIFFERENTIATION_IST_TE,MATCH(D46,PT_DIFFERENTIATION_IST_TE_ID,0))</f>
        <v>без дифференциации</v>
      </c>
      <c r="AE46" s="2244"/>
      <c r="AF46" s="2244"/>
      <c r="AG46" s="2244"/>
      <c r="AH46" s="2244"/>
      <c r="AI46" s="2244"/>
      <c r="AJ46" s="2244"/>
      <c r="AK46" s="2244"/>
      <c r="AL46" s="2243"/>
      <c r="AM46" s="2244"/>
      <c r="AN46" s="2244"/>
      <c r="AO46" s="2244"/>
      <c r="AP46" s="2244"/>
      <c r="AQ46" s="2244"/>
      <c r="AR46" s="2244"/>
      <c r="AS46" s="2899"/>
      <c r="AT46" s="2245"/>
      <c r="AU46" s="1259" t="s">
        <v>419</v>
      </c>
      <c r="AW46" s="501"/>
      <c r="AX46" s="501" t="str">
        <f>IF(T46="","",T46)</f>
        <v>Источник тепловой энергии  </v>
      </c>
      <c r="AY46" s="501"/>
      <c r="AZ46" s="501"/>
      <c r="BA46" s="1156">
        <v>21</v>
      </c>
    </row>
    <row customHeight="1" ht="49.5">
      <c r="A47" s="1364" t="s">
        <v>172</v>
      </c>
      <c r="B47" s="1364" t="s">
        <v>173</v>
      </c>
      <c r="C47" s="1364" t="s">
        <v>174</v>
      </c>
      <c r="D47" s="1364" t="s">
        <v>175</v>
      </c>
      <c r="E47" s="2260"/>
      <c r="F47" s="2260"/>
      <c r="G47" s="2260"/>
      <c r="H47" s="2260"/>
      <c r="I47" s="2257" t="str">
        <f>S46&amp;".1"</f>
        <v>1.1.1.1.1</v>
      </c>
      <c r="J47" s="1364"/>
      <c r="K47" s="1364"/>
      <c r="L47" s="1365" t="s">
        <v>420</v>
      </c>
      <c r="P47" s="2258">
        <v>1</v>
      </c>
      <c r="Q47" s="1332"/>
      <c r="R47" s="357"/>
      <c r="S47" s="1337" t="str">
        <f>$I47</f>
        <v>1.1.1.1.1</v>
      </c>
      <c r="T47" s="286" t="s">
        <v>421</v>
      </c>
      <c r="U47" s="301"/>
      <c r="V47" s="2246"/>
      <c r="W47" s="2247"/>
      <c r="X47" s="2247"/>
      <c r="Y47" s="2247"/>
      <c r="Z47" s="2247"/>
      <c r="AA47" s="2247"/>
      <c r="AB47" s="2247"/>
      <c r="AC47" s="2248"/>
      <c r="AD47" s="2246" t="s">
        <v>463</v>
      </c>
      <c r="AE47" s="2247"/>
      <c r="AF47" s="2247"/>
      <c r="AG47" s="2247"/>
      <c r="AH47" s="2247"/>
      <c r="AI47" s="2247"/>
      <c r="AJ47" s="2247"/>
      <c r="AK47" s="2247"/>
      <c r="AL47" s="2246"/>
      <c r="AM47" s="2247"/>
      <c r="AN47" s="2247"/>
      <c r="AO47" s="2247"/>
      <c r="AP47" s="2247"/>
      <c r="AQ47" s="2247"/>
      <c r="AR47" s="2247"/>
      <c r="AS47" s="2900"/>
      <c r="AT47" s="2248"/>
      <c r="AU47" s="1259" t="s">
        <v>422</v>
      </c>
      <c r="AW47" s="501"/>
      <c r="AX47" s="501" t="str">
        <f>IF(T47="","",T47)</f>
        <v>Схема подключения теплопотребляющей установки к коллектору источника тепловой энергии</v>
      </c>
      <c r="AY47" s="501"/>
      <c r="AZ47" s="501"/>
      <c r="BA47" s="1156">
        <v>47</v>
      </c>
    </row>
    <row customHeight="1" ht="22.049999999999997">
      <c r="A48" s="1364" t="s">
        <v>172</v>
      </c>
      <c r="B48" s="1364" t="s">
        <v>173</v>
      </c>
      <c r="C48" s="1364" t="s">
        <v>174</v>
      </c>
      <c r="D48" s="1364" t="s">
        <v>175</v>
      </c>
      <c r="E48" s="2260"/>
      <c r="F48" s="2260"/>
      <c r="G48" s="2260"/>
      <c r="H48" s="2260"/>
      <c r="I48" s="2287"/>
      <c r="J48" s="2257" t="str">
        <f>I47&amp;".1"</f>
        <v>1.1.1.1.1.1</v>
      </c>
      <c r="K48" s="1364"/>
      <c r="L48" s="1365" t="s">
        <v>423</v>
      </c>
      <c r="P48" s="2258"/>
      <c r="Q48" s="2258">
        <v>1</v>
      </c>
      <c r="R48" s="358"/>
      <c r="S48" s="1337" t="str">
        <f>$J48</f>
        <v>1.1.1.1.1.1</v>
      </c>
      <c r="T48" s="287" t="s">
        <v>424</v>
      </c>
      <c r="U48" s="301"/>
      <c r="V48" s="2246"/>
      <c r="W48" s="2247"/>
      <c r="X48" s="2247"/>
      <c r="Y48" s="2247"/>
      <c r="Z48" s="2247"/>
      <c r="AA48" s="2247"/>
      <c r="AB48" s="2247"/>
      <c r="AC48" s="2248"/>
      <c r="AD48" s="2246" t="s">
        <v>464</v>
      </c>
      <c r="AE48" s="2247"/>
      <c r="AF48" s="2247"/>
      <c r="AG48" s="2247"/>
      <c r="AH48" s="2247"/>
      <c r="AI48" s="2247"/>
      <c r="AJ48" s="2247"/>
      <c r="AK48" s="2247"/>
      <c r="AL48" s="2246"/>
      <c r="AM48" s="2247"/>
      <c r="AN48" s="2247"/>
      <c r="AO48" s="2247"/>
      <c r="AP48" s="2247"/>
      <c r="AQ48" s="2247"/>
      <c r="AR48" s="2247"/>
      <c r="AS48" s="2900"/>
      <c r="AT48" s="2248"/>
      <c r="AU48" s="1259" t="s">
        <v>425</v>
      </c>
      <c r="AW48" s="501"/>
      <c r="AX48" s="501" t="str">
        <f>IF(T48="","",T48)</f>
        <v>Группа потребителей</v>
      </c>
      <c r="AY48" s="501"/>
      <c r="AZ48" s="501"/>
      <c r="BA48" s="1156">
        <v>21</v>
      </c>
    </row>
    <row customHeight="1" ht="22.049999999999997">
      <c r="A49" s="1364" t="s">
        <v>172</v>
      </c>
      <c r="B49" s="1364" t="s">
        <v>173</v>
      </c>
      <c r="C49" s="1364" t="s">
        <v>174</v>
      </c>
      <c r="D49" s="1364" t="s">
        <v>175</v>
      </c>
      <c r="E49" s="2260"/>
      <c r="F49" s="2260"/>
      <c r="G49" s="2260"/>
      <c r="H49" s="2260"/>
      <c r="I49" s="2287"/>
      <c r="J49" s="2287"/>
      <c r="K49" s="2257" t="str">
        <f>J48&amp;".1"</f>
        <v>1.1.1.1.1.1.1</v>
      </c>
      <c r="L49" s="1365" t="s">
        <v>426</v>
      </c>
      <c r="P49" s="2258"/>
      <c r="Q49" s="2258"/>
      <c r="R49" s="358">
        <v>1</v>
      </c>
      <c r="S49" s="1337" t="str">
        <f>$K49</f>
        <v>1.1.1.1.1.1.1</v>
      </c>
      <c r="T49" s="1348" t="s">
        <v>465</v>
      </c>
      <c r="U49" s="301"/>
      <c r="V49" s="752"/>
      <c r="W49" s="326"/>
      <c r="X49" s="752"/>
      <c r="Y49" s="1258"/>
      <c r="Z49" s="2266"/>
      <c r="AA49" s="2108" t="s">
        <v>61</v>
      </c>
      <c r="AB49" s="2266"/>
      <c r="AC49" s="2108" t="s">
        <v>61</v>
      </c>
      <c r="AD49" s="752">
        <v>2243.59379767937</v>
      </c>
      <c r="AE49" s="326"/>
      <c r="AF49" s="752"/>
      <c r="AG49" s="1258"/>
      <c r="AH49" s="2603">
        <v>46388</v>
      </c>
      <c r="AI49" s="2108" t="s">
        <v>61</v>
      </c>
      <c r="AJ49" s="2288">
        <v>46568</v>
      </c>
      <c r="AK49" s="2108" t="s">
        <v>61</v>
      </c>
      <c r="AL49" s="752">
        <v>2243.59379767937</v>
      </c>
      <c r="AM49" s="326"/>
      <c r="AN49" s="752"/>
      <c r="AO49" s="1258"/>
      <c r="AP49" s="2603">
        <v>46569</v>
      </c>
      <c r="AQ49" s="2108" t="s">
        <v>61</v>
      </c>
      <c r="AR49" s="2603">
        <v>46752</v>
      </c>
      <c r="AS49" s="2108" t="s">
        <v>61</v>
      </c>
      <c r="AT49" s="1349"/>
      <c r="AU49" s="2254" t="s">
        <v>427</v>
      </c>
      <c r="AV49" s="512">
        <f>STRCHECKDATE(V50:AT50)</f>
      </c>
      <c r="AW49" s="501"/>
      <c r="AX49" s="501" t="str">
        <f>IF(T49="","",T49)</f>
        <v>вода</v>
      </c>
      <c r="AY49" s="501"/>
      <c r="AZ49" s="501"/>
      <c r="BA49" s="1156">
        <v>21</v>
      </c>
    </row>
    <row customHeight="1" ht="1.05">
      <c r="A50" s="1364" t="s">
        <v>172</v>
      </c>
      <c r="B50" s="1364" t="s">
        <v>173</v>
      </c>
      <c r="C50" s="1364" t="s">
        <v>174</v>
      </c>
      <c r="D50" s="1364" t="s">
        <v>175</v>
      </c>
      <c r="E50" s="2260"/>
      <c r="F50" s="2260"/>
      <c r="G50" s="2260"/>
      <c r="H50" s="2260"/>
      <c r="I50" s="2287"/>
      <c r="J50" s="2287"/>
      <c r="K50" s="2257"/>
      <c r="L50" s="1365"/>
      <c r="P50" s="2258"/>
      <c r="Q50" s="2258"/>
      <c r="R50" s="358"/>
      <c r="S50" s="1343"/>
      <c r="T50" s="301"/>
      <c r="U50" s="301"/>
      <c r="V50" s="326"/>
      <c r="W50" s="326"/>
      <c r="X50" s="326"/>
      <c r="Y50" s="329" t="str">
        <f>Z49&amp;"-"&amp;AB49</f>
        <v>-</v>
      </c>
      <c r="Z50" s="2267"/>
      <c r="AA50" s="2108"/>
      <c r="AB50" s="2267"/>
      <c r="AC50" s="2108"/>
      <c r="AD50" s="326"/>
      <c r="AE50" s="326"/>
      <c r="AF50" s="326"/>
      <c r="AG50" s="329" t="str">
        <f>AH49&amp;"-"&amp;AJ49</f>
        <v>46388-46568</v>
      </c>
      <c r="AH50" s="2267"/>
      <c r="AI50" s="2108"/>
      <c r="AJ50" s="2289"/>
      <c r="AK50" s="2108"/>
      <c r="AL50" s="326"/>
      <c r="AM50" s="326"/>
      <c r="AN50" s="326"/>
      <c r="AO50" s="329" t="str">
        <f>AP49&amp;"-"&amp;AR49</f>
        <v>46569-46752</v>
      </c>
      <c r="AP50" s="2310"/>
      <c r="AQ50" s="2108"/>
      <c r="AR50" s="2310"/>
      <c r="AS50" s="2108"/>
      <c r="AT50" s="1350"/>
      <c r="AU50" s="2255"/>
      <c r="AW50" s="501"/>
      <c r="AX50" s="501" t="str">
        <f>IF(T50="","",T50)</f>
        <v/>
      </c>
      <c r="AY50" s="501"/>
      <c r="AZ50" s="501"/>
      <c r="BA50" s="1156">
        <v>1</v>
      </c>
    </row>
    <row customHeight="1" ht="11.549999999999999">
      <c r="A51" s="1364" t="s">
        <v>172</v>
      </c>
      <c r="B51" s="1364" t="s">
        <v>173</v>
      </c>
      <c r="C51" s="1364" t="s">
        <v>174</v>
      </c>
      <c r="D51" s="1364" t="s">
        <v>175</v>
      </c>
      <c r="E51" s="2260"/>
      <c r="F51" s="2260"/>
      <c r="G51" s="2260"/>
      <c r="H51" s="2260"/>
      <c r="I51" s="2287"/>
      <c r="J51" s="2257"/>
      <c r="K51" s="1364"/>
      <c r="L51" s="1365"/>
      <c r="P51" s="2258"/>
      <c r="Q51" s="2258"/>
      <c r="R51" s="357"/>
      <c r="S51" s="1279"/>
      <c r="T51" s="289" t="s">
        <v>428</v>
      </c>
      <c r="U51" s="368"/>
      <c r="V51" s="368"/>
      <c r="W51" s="368"/>
      <c r="X51" s="368"/>
      <c r="Y51" s="368"/>
      <c r="Z51" s="368"/>
      <c r="AA51" s="368"/>
      <c r="AB51" s="368"/>
      <c r="AC51" s="368"/>
      <c r="AD51" s="368"/>
      <c r="AE51" s="368"/>
      <c r="AF51" s="368"/>
      <c r="AG51" s="368"/>
      <c r="AH51" s="368"/>
      <c r="AI51" s="368"/>
      <c r="AJ51" s="368"/>
      <c r="AK51" s="368"/>
      <c r="AL51" s="2704"/>
      <c r="AM51" s="2705"/>
      <c r="AN51" s="2706"/>
      <c r="AO51" s="2707"/>
      <c r="AP51" s="2708"/>
      <c r="AQ51" s="2709"/>
      <c r="AR51" s="2710"/>
      <c r="AS51" s="2919"/>
      <c r="AT51" s="325"/>
      <c r="AU51" s="2256"/>
      <c r="AW51" s="501"/>
      <c r="AX51" s="501" t="str">
        <f>IF(T51="","",T51)</f>
        <v>Добавить вид теплоносителя (параметры теплоносителя)</v>
      </c>
      <c r="AY51" s="501"/>
      <c r="AZ51" s="501"/>
      <c r="BA51" s="1156">
        <v>11</v>
      </c>
    </row>
    <row customHeight="1" ht="11.549999999999999">
      <c r="A52" s="1364" t="s">
        <v>172</v>
      </c>
      <c r="B52" s="1364" t="s">
        <v>173</v>
      </c>
      <c r="C52" s="1364" t="s">
        <v>174</v>
      </c>
      <c r="D52" s="1364" t="s">
        <v>175</v>
      </c>
      <c r="E52" s="2260"/>
      <c r="F52" s="2260"/>
      <c r="G52" s="2260"/>
      <c r="H52" s="2260"/>
      <c r="I52" s="2257"/>
      <c r="J52" s="1364"/>
      <c r="K52" s="1364"/>
      <c r="L52" s="1365"/>
      <c r="P52" s="2258"/>
      <c r="Q52" s="1332"/>
      <c r="R52" s="357"/>
      <c r="S52" s="1279"/>
      <c r="T52" s="288" t="s">
        <v>429</v>
      </c>
      <c r="U52" s="368"/>
      <c r="V52" s="368"/>
      <c r="W52" s="368"/>
      <c r="X52" s="368"/>
      <c r="Y52" s="368"/>
      <c r="Z52" s="368"/>
      <c r="AA52" s="368"/>
      <c r="AB52" s="368"/>
      <c r="AC52" s="367"/>
      <c r="AD52" s="368"/>
      <c r="AE52" s="368"/>
      <c r="AF52" s="368"/>
      <c r="AG52" s="368"/>
      <c r="AH52" s="368"/>
      <c r="AI52" s="368"/>
      <c r="AJ52" s="368"/>
      <c r="AK52" s="367"/>
      <c r="AL52" s="2712"/>
      <c r="AM52" s="2713"/>
      <c r="AN52" s="2714"/>
      <c r="AO52" s="2715"/>
      <c r="AP52" s="2716"/>
      <c r="AQ52" s="2717"/>
      <c r="AR52" s="2718"/>
      <c r="AS52" s="2920"/>
      <c r="AT52" s="368"/>
      <c r="AU52" s="304"/>
      <c r="AW52" s="501"/>
      <c r="AX52" s="501" t="str">
        <f>IF(T52="","",T52)</f>
        <v>Добавить группу потребителей</v>
      </c>
      <c r="AY52" s="501"/>
      <c r="AZ52" s="501"/>
      <c r="BA52" s="1156">
        <v>11</v>
      </c>
    </row>
    <row customHeight="1" ht="14.699999999999998">
      <c r="A53" s="1364" t="s">
        <v>172</v>
      </c>
      <c r="B53" s="1364" t="s">
        <v>173</v>
      </c>
      <c r="C53" s="1364" t="s">
        <v>174</v>
      </c>
      <c r="D53" s="1364" t="s">
        <v>175</v>
      </c>
      <c r="E53" s="2260"/>
      <c r="F53" s="2260"/>
      <c r="G53" s="2260"/>
      <c r="H53" s="2259"/>
      <c r="I53" s="1364"/>
      <c r="J53" s="1364"/>
      <c r="K53" s="1364"/>
      <c r="L53" s="1365"/>
      <c r="M53" s="1366"/>
      <c r="N53" s="1366"/>
      <c r="O53" s="538"/>
      <c r="P53" s="361"/>
      <c r="Q53" s="376"/>
      <c r="R53" s="356"/>
      <c r="S53" s="1279"/>
      <c r="T53" s="366" t="s">
        <v>430</v>
      </c>
      <c r="U53" s="368"/>
      <c r="V53" s="368"/>
      <c r="W53" s="368"/>
      <c r="X53" s="368"/>
      <c r="Y53" s="368"/>
      <c r="Z53" s="368"/>
      <c r="AA53" s="368"/>
      <c r="AB53" s="368"/>
      <c r="AC53" s="367"/>
      <c r="AD53" s="368"/>
      <c r="AE53" s="368"/>
      <c r="AF53" s="368"/>
      <c r="AG53" s="368"/>
      <c r="AH53" s="368"/>
      <c r="AI53" s="368"/>
      <c r="AJ53" s="368"/>
      <c r="AK53" s="367"/>
      <c r="AL53" s="2720"/>
      <c r="AM53" s="2721"/>
      <c r="AN53" s="2722"/>
      <c r="AO53" s="2723"/>
      <c r="AP53" s="2724"/>
      <c r="AQ53" s="2725"/>
      <c r="AR53" s="2726"/>
      <c r="AS53" s="2921"/>
      <c r="AT53" s="368"/>
      <c r="AU53" s="304"/>
      <c r="AW53" s="501"/>
      <c r="AX53" s="501" t="str">
        <f>IF(T53="","",T53)</f>
        <v>Добавить схему подключения</v>
      </c>
      <c r="AY53" s="501"/>
      <c r="AZ53" s="501"/>
      <c r="BA53" s="1156">
        <v>14</v>
      </c>
    </row>
    <row s="1643" customFormat="1" customHeight="1" ht="1.05">
      <c r="A54" s="1344" t="s">
        <v>172</v>
      </c>
      <c r="B54" s="1344" t="s">
        <v>173</v>
      </c>
      <c r="C54" s="1344" t="s">
        <v>174</v>
      </c>
      <c r="D54" s="1315"/>
      <c r="E54" s="2260"/>
      <c r="F54" s="2260"/>
      <c r="G54" s="2259"/>
      <c r="H54" s="1315"/>
      <c r="I54" s="1315"/>
      <c r="J54" s="1315"/>
      <c r="K54" s="1315"/>
      <c r="L54" s="1340"/>
      <c r="M54" s="1316"/>
      <c r="N54" s="1316"/>
      <c r="P54" s="1317"/>
      <c r="Q54" s="1318"/>
      <c r="R54" s="1317"/>
      <c r="S54" s="1323"/>
      <c r="T54" s="1326" t="s">
        <v>176</v>
      </c>
      <c r="U54" s="1325"/>
      <c r="V54" s="1325"/>
      <c r="W54" s="1325"/>
      <c r="X54" s="1325"/>
      <c r="Y54" s="1325"/>
      <c r="Z54" s="1325"/>
      <c r="AA54" s="1325"/>
      <c r="AB54" s="1325"/>
      <c r="AC54" s="1325"/>
      <c r="AD54" s="1325"/>
      <c r="AE54" s="1325"/>
      <c r="AF54" s="1325"/>
      <c r="AG54" s="1325"/>
      <c r="AH54" s="1325"/>
      <c r="AI54" s="1325"/>
      <c r="AJ54" s="1325"/>
      <c r="AK54" s="1325"/>
      <c r="AL54" s="1325"/>
      <c r="AM54" s="1325"/>
      <c r="AN54" s="1325"/>
      <c r="AO54" s="1325"/>
      <c r="AP54" s="1325"/>
      <c r="AQ54" s="1325"/>
      <c r="AR54" s="1325"/>
      <c r="AS54" s="2906"/>
      <c r="AT54" s="1325"/>
      <c r="AU54" s="1325"/>
      <c r="AW54" s="790"/>
      <c r="AX54" s="790" t="str">
        <f>IF(T54="","",T54)</f>
        <v>Добавить источник для дифференциации</v>
      </c>
      <c r="AY54" s="790"/>
      <c r="AZ54" s="790"/>
      <c r="BA54" s="519">
        <v>1</v>
      </c>
    </row>
    <row s="1643" customFormat="1" customHeight="1" ht="1.05">
      <c r="A55" s="1344" t="s">
        <v>172</v>
      </c>
      <c r="B55" s="1344" t="s">
        <v>173</v>
      </c>
      <c r="C55" s="1315"/>
      <c r="D55" s="1315"/>
      <c r="E55" s="2260"/>
      <c r="F55" s="2259"/>
      <c r="G55" s="1315"/>
      <c r="H55" s="1315"/>
      <c r="I55" s="1315"/>
      <c r="J55" s="1315"/>
      <c r="K55" s="1315"/>
      <c r="L55" s="1340"/>
      <c r="M55" s="1322"/>
      <c r="N55" s="1322"/>
      <c r="P55" s="1317"/>
      <c r="Q55" s="1318"/>
      <c r="R55" s="1317"/>
      <c r="S55" s="1323"/>
      <c r="T55" s="1326" t="s">
        <v>177</v>
      </c>
      <c r="U55" s="1325"/>
      <c r="V55" s="1325"/>
      <c r="W55" s="1325"/>
      <c r="X55" s="1325"/>
      <c r="Y55" s="1325"/>
      <c r="Z55" s="1325"/>
      <c r="AA55" s="1325"/>
      <c r="AB55" s="1325"/>
      <c r="AC55" s="1325"/>
      <c r="AD55" s="1325"/>
      <c r="AE55" s="1325"/>
      <c r="AF55" s="1325"/>
      <c r="AG55" s="1325"/>
      <c r="AH55" s="1325"/>
      <c r="AI55" s="1325"/>
      <c r="AJ55" s="1325"/>
      <c r="AK55" s="1325"/>
      <c r="AL55" s="1325"/>
      <c r="AM55" s="1325"/>
      <c r="AN55" s="1325"/>
      <c r="AO55" s="1325"/>
      <c r="AP55" s="1325"/>
      <c r="AQ55" s="1325"/>
      <c r="AR55" s="1325"/>
      <c r="AS55" s="2906"/>
      <c r="AT55" s="1325"/>
      <c r="AU55" s="1325"/>
      <c r="AW55" s="790"/>
      <c r="AX55" s="790" t="str">
        <f>IF(T55="","",T55)</f>
        <v>Добавить централизованную систему для дифференциации</v>
      </c>
      <c r="AY55" s="790"/>
      <c r="AZ55" s="790"/>
      <c r="BA55" s="519">
        <v>1</v>
      </c>
    </row>
    <row s="1643" customFormat="1" customHeight="1" ht="1.05">
      <c r="A56" s="1344" t="s">
        <v>172</v>
      </c>
      <c r="B56" s="1344"/>
      <c r="C56" s="1344"/>
      <c r="D56" s="1344"/>
      <c r="E56" s="2259"/>
      <c r="F56" s="1344"/>
      <c r="G56" s="1344"/>
      <c r="H56" s="1344"/>
      <c r="I56" s="1344"/>
      <c r="J56" s="1344"/>
      <c r="K56" s="1344"/>
      <c r="L56" s="1347"/>
      <c r="M56" s="1322"/>
      <c r="N56" s="1322"/>
      <c r="O56" s="519"/>
      <c r="P56" s="381"/>
      <c r="Q56" s="1345"/>
      <c r="R56" s="381"/>
      <c r="S56" s="1323"/>
      <c r="T56" s="1326" t="s">
        <v>178</v>
      </c>
      <c r="U56" s="1325"/>
      <c r="V56" s="1325"/>
      <c r="W56" s="1325"/>
      <c r="X56" s="1325"/>
      <c r="Y56" s="1325"/>
      <c r="Z56" s="1325"/>
      <c r="AA56" s="1325"/>
      <c r="AB56" s="1325"/>
      <c r="AC56" s="1325"/>
      <c r="AD56" s="1325"/>
      <c r="AE56" s="1325"/>
      <c r="AF56" s="1325"/>
      <c r="AG56" s="1325"/>
      <c r="AH56" s="1325"/>
      <c r="AI56" s="1325"/>
      <c r="AJ56" s="1325"/>
      <c r="AK56" s="1325"/>
      <c r="AL56" s="1325"/>
      <c r="AM56" s="1325"/>
      <c r="AN56" s="1325"/>
      <c r="AO56" s="1325"/>
      <c r="AP56" s="1325"/>
      <c r="AQ56" s="1325"/>
      <c r="AR56" s="1325"/>
      <c r="AS56" s="2906"/>
      <c r="AT56" s="1325"/>
      <c r="AU56" s="1325"/>
      <c r="AW56" s="501"/>
      <c r="AX56" s="501" t="str">
        <f>IF(T56="","",T56)</f>
        <v>Добавить территорию для дифференциации</v>
      </c>
      <c r="AY56" s="501"/>
      <c r="AZ56" s="501"/>
      <c r="BA56" s="512">
        <v>1</v>
      </c>
    </row>
    <row s="1851" customFormat="1" customHeight="1" ht="21">
      <c r="A57" s="1364" t="s">
        <v>180</v>
      </c>
      <c r="B57" s="1364"/>
      <c r="C57" s="1364"/>
      <c r="D57" s="1364"/>
      <c r="E57" s="2259" t="s">
        <v>103</v>
      </c>
      <c r="F57" s="1364"/>
      <c r="G57" s="1364"/>
      <c r="H57" s="1364"/>
      <c r="I57" s="1364"/>
      <c r="J57" s="1364"/>
      <c r="K57" s="1364"/>
      <c r="L57" s="1370"/>
      <c r="M57" s="1366"/>
      <c r="N57" s="1366"/>
      <c r="O57" s="1366"/>
      <c r="P57" s="2398"/>
      <c r="Q57" s="1824"/>
      <c r="R57" s="356"/>
      <c r="S57" s="2274" t="str">
        <f>INDEX(PT_DIFFERENTIATION_NUM_NTAR,MATCH(A57,PT_DIFFERENTIATION_NTAR_ID,0))</f>
        <v>2</v>
      </c>
      <c r="T57" s="1526" t="s">
        <v>131</v>
      </c>
      <c r="U57" s="301"/>
      <c r="V57" s="2243"/>
      <c r="W57" s="2244"/>
      <c r="X57" s="2244"/>
      <c r="Y57" s="2244"/>
      <c r="Z57" s="2244"/>
      <c r="AA57" s="2244"/>
      <c r="AB57" s="2244"/>
      <c r="AC57" s="2245"/>
      <c r="AD57" s="2243" t="str">
        <f>INDEX(PT_DIFFERENTIATION_NTAR,MATCH(A57,PT_DIFFERENTIATION_NTAR_ID,0))</f>
        <v>Тарифы на тепловую энергию (мощность), поставляемую потребителям</v>
      </c>
      <c r="AE57" s="2244"/>
      <c r="AF57" s="2244"/>
      <c r="AG57" s="2244"/>
      <c r="AH57" s="2244"/>
      <c r="AI57" s="2244"/>
      <c r="AJ57" s="2244"/>
      <c r="AK57" s="2244"/>
      <c r="AL57" s="2243"/>
      <c r="AM57" s="2244"/>
      <c r="AN57" s="2244"/>
      <c r="AO57" s="2244"/>
      <c r="AP57" s="2244"/>
      <c r="AQ57" s="2244"/>
      <c r="AR57" s="2244"/>
      <c r="AS57" s="2899"/>
      <c r="AT57" s="2245"/>
      <c r="AU57" s="1259" t="s">
        <v>413</v>
      </c>
      <c r="AV57" s="1643"/>
      <c r="AW57" s="1625"/>
      <c r="AX57" s="1625" t="str">
        <f>IF(T57="","",T57)</f>
        <v>Наименование тарифа</v>
      </c>
      <c r="AY57" s="1625"/>
      <c r="AZ57" s="1625"/>
      <c r="BA57" s="1636">
        <v>0</v>
      </c>
    </row>
    <row s="1851" customFormat="1" customHeight="1" ht="21">
      <c r="A58" s="1364"/>
      <c r="B58" s="1364" t="s">
        <v>181</v>
      </c>
      <c r="C58" s="1364"/>
      <c r="D58" s="1364"/>
      <c r="E58" s="2260">
        <v>1</v>
      </c>
      <c r="F58" s="2259">
        <v>1</v>
      </c>
      <c r="G58" s="1364"/>
      <c r="H58" s="1364"/>
      <c r="I58" s="1364"/>
      <c r="J58" s="1364"/>
      <c r="K58" s="1364"/>
      <c r="L58" s="1370"/>
      <c r="M58" s="1366"/>
      <c r="N58" s="1366"/>
      <c r="O58" s="1366"/>
      <c r="P58" s="2126"/>
      <c r="Q58" s="353"/>
      <c r="R58" s="354"/>
      <c r="S58" s="2274" t="str">
        <f>INDEX(PT_DIFFERENTIATION_NUM_TER,MATCH(B58,PT_DIFFERENTIATION_TER_ID,0))</f>
        <v>2.1</v>
      </c>
      <c r="T58" s="1523" t="s">
        <v>414</v>
      </c>
      <c r="U58" s="301"/>
      <c r="V58" s="2243"/>
      <c r="W58" s="2244"/>
      <c r="X58" s="2244"/>
      <c r="Y58" s="2244"/>
      <c r="Z58" s="2244"/>
      <c r="AA58" s="2244"/>
      <c r="AB58" s="2244"/>
      <c r="AC58" s="2245"/>
      <c r="AD58" s="2243" t="str">
        <f>INDEX(PT_DIFFERENTIATION_TER,MATCH(B58,PT_DIFFERENTIATION_TER_ID,0))</f>
        <v>Территория 1</v>
      </c>
      <c r="AE58" s="2244"/>
      <c r="AF58" s="2244"/>
      <c r="AG58" s="2244"/>
      <c r="AH58" s="2244"/>
      <c r="AI58" s="2244"/>
      <c r="AJ58" s="2244"/>
      <c r="AK58" s="2244"/>
      <c r="AL58" s="2243"/>
      <c r="AM58" s="2244"/>
      <c r="AN58" s="2244"/>
      <c r="AO58" s="2244"/>
      <c r="AP58" s="2244"/>
      <c r="AQ58" s="2244"/>
      <c r="AR58" s="2244"/>
      <c r="AS58" s="2899"/>
      <c r="AT58" s="2245"/>
      <c r="AU58" s="1259" t="s">
        <v>415</v>
      </c>
      <c r="AV58" s="1643"/>
      <c r="AW58" s="1625"/>
      <c r="AX58" s="1625" t="str">
        <f>IF(T58="","",T58)</f>
        <v>Территория действия тарифа</v>
      </c>
      <c r="AY58" s="1625"/>
      <c r="AZ58" s="1625"/>
      <c r="BA58" s="1636">
        <v>0</v>
      </c>
    </row>
    <row s="1851" customFormat="1" customHeight="1" ht="23.25">
      <c r="A59" s="1364"/>
      <c r="B59" s="1364"/>
      <c r="C59" s="1364" t="s">
        <v>182</v>
      </c>
      <c r="D59" s="1364"/>
      <c r="E59" s="2260">
        <v>1</v>
      </c>
      <c r="F59" s="2260"/>
      <c r="G59" s="2259">
        <v>1</v>
      </c>
      <c r="H59" s="1364"/>
      <c r="I59" s="1364"/>
      <c r="J59" s="1364"/>
      <c r="K59" s="1364"/>
      <c r="L59" s="1370"/>
      <c r="M59" s="1366"/>
      <c r="N59" s="1366"/>
      <c r="O59" s="1366"/>
      <c r="P59" s="355"/>
      <c r="Q59" s="353"/>
      <c r="R59" s="354"/>
      <c r="S59" s="2274" t="str">
        <f>INDEX(PT_DIFFERENTIATION_NUM_CS,MATCH(C59,PT_DIFFERENTIATION_CS_ID,0))</f>
        <v>2.1.1</v>
      </c>
      <c r="T59" s="310" t="s">
        <v>416</v>
      </c>
      <c r="U59" s="301"/>
      <c r="V59" s="2243"/>
      <c r="W59" s="2244"/>
      <c r="X59" s="2244"/>
      <c r="Y59" s="2244"/>
      <c r="Z59" s="2244"/>
      <c r="AA59" s="2244"/>
      <c r="AB59" s="2244"/>
      <c r="AC59" s="2245"/>
      <c r="AD59" s="2243" t="str">
        <f>INDEX(PT_DIFFERENTIATION_CS,MATCH(C59,PT_DIFFERENTIATION_CS_ID,0))</f>
        <v>без дифференциации</v>
      </c>
      <c r="AE59" s="2244"/>
      <c r="AF59" s="2244"/>
      <c r="AG59" s="2244"/>
      <c r="AH59" s="2244"/>
      <c r="AI59" s="2244"/>
      <c r="AJ59" s="2244"/>
      <c r="AK59" s="2244"/>
      <c r="AL59" s="2243"/>
      <c r="AM59" s="2244"/>
      <c r="AN59" s="2244"/>
      <c r="AO59" s="2244"/>
      <c r="AP59" s="2244"/>
      <c r="AQ59" s="2244"/>
      <c r="AR59" s="2244"/>
      <c r="AS59" s="2899"/>
      <c r="AT59" s="2245"/>
      <c r="AU59" s="1259" t="s">
        <v>417</v>
      </c>
      <c r="AV59" s="1643"/>
      <c r="AW59" s="1625"/>
      <c r="AX59" s="1625" t="str">
        <f>IF(T59="","",T59)</f>
        <v>Наименование системы теплоснабжения </v>
      </c>
      <c r="AY59" s="1625"/>
      <c r="AZ59" s="1625"/>
      <c r="BA59" s="1636">
        <v>0</v>
      </c>
    </row>
    <row s="1851" customFormat="1" customHeight="1" ht="21">
      <c r="A60" s="1364"/>
      <c r="B60" s="1364"/>
      <c r="C60" s="1364"/>
      <c r="D60" s="1364" t="s">
        <v>183</v>
      </c>
      <c r="E60" s="2260">
        <v>1</v>
      </c>
      <c r="F60" s="2260"/>
      <c r="G60" s="2260"/>
      <c r="H60" s="2259">
        <v>1</v>
      </c>
      <c r="I60" s="1364"/>
      <c r="J60" s="1364"/>
      <c r="K60" s="1364"/>
      <c r="L60" s="1370"/>
      <c r="M60" s="1366"/>
      <c r="N60" s="1366"/>
      <c r="O60" s="1366"/>
      <c r="P60" s="355"/>
      <c r="Q60" s="353"/>
      <c r="R60" s="354"/>
      <c r="S60" s="2274" t="str">
        <f>INDEX(PT_DIFFERENTIATION_NUM_IST_TE,MATCH(D60,PT_DIFFERENTIATION_IST_TE_ID,0))</f>
        <v>2.1.1.1</v>
      </c>
      <c r="T60" s="311" t="s">
        <v>418</v>
      </c>
      <c r="U60" s="301"/>
      <c r="V60" s="2243"/>
      <c r="W60" s="2244"/>
      <c r="X60" s="2244"/>
      <c r="Y60" s="2244"/>
      <c r="Z60" s="2244"/>
      <c r="AA60" s="2244"/>
      <c r="AB60" s="2244"/>
      <c r="AC60" s="2245"/>
      <c r="AD60" s="2243" t="str">
        <f>INDEX(PT_DIFFERENTIATION_IST_TE,MATCH(D60,PT_DIFFERENTIATION_IST_TE_ID,0))</f>
        <v>без дифференциации</v>
      </c>
      <c r="AE60" s="2244"/>
      <c r="AF60" s="2244"/>
      <c r="AG60" s="2244"/>
      <c r="AH60" s="2244"/>
      <c r="AI60" s="2244"/>
      <c r="AJ60" s="2244"/>
      <c r="AK60" s="2244"/>
      <c r="AL60" s="2243"/>
      <c r="AM60" s="2244"/>
      <c r="AN60" s="2244"/>
      <c r="AO60" s="2244"/>
      <c r="AP60" s="2244"/>
      <c r="AQ60" s="2244"/>
      <c r="AR60" s="2244"/>
      <c r="AS60" s="2899"/>
      <c r="AT60" s="2245"/>
      <c r="AU60" s="1259" t="s">
        <v>419</v>
      </c>
      <c r="AV60" s="1643"/>
      <c r="AW60" s="1625"/>
      <c r="AX60" s="1625" t="str">
        <f>IF(T60="","",T60)</f>
        <v>Источник тепловой энергии  </v>
      </c>
      <c r="AY60" s="1625"/>
      <c r="AZ60" s="1625"/>
      <c r="BA60" s="1636">
        <v>0</v>
      </c>
    </row>
    <row s="1851" customFormat="1" customHeight="1" ht="47.25">
      <c r="A61" s="1364"/>
      <c r="B61" s="1364"/>
      <c r="C61" s="1364"/>
      <c r="D61" s="1364"/>
      <c r="E61" s="2260">
        <v>1</v>
      </c>
      <c r="F61" s="2260"/>
      <c r="G61" s="2260"/>
      <c r="H61" s="2260"/>
      <c r="I61" s="2257" t="str">
        <f>S60&amp;".1"</f>
        <v>2.1.1.1.1</v>
      </c>
      <c r="J61" s="1364"/>
      <c r="K61" s="1364"/>
      <c r="L61" s="1370" t="s">
        <v>420</v>
      </c>
      <c r="M61" s="1367"/>
      <c r="N61" s="1777"/>
      <c r="O61" s="1777"/>
      <c r="P61" s="2375">
        <v>1</v>
      </c>
      <c r="Q61" s="2375"/>
      <c r="R61" s="357"/>
      <c r="S61" s="2274" t="str">
        <f>$I61</f>
        <v>2.1.1.1.1</v>
      </c>
      <c r="T61" s="286" t="s">
        <v>421</v>
      </c>
      <c r="U61" s="301"/>
      <c r="V61" s="2246"/>
      <c r="W61" s="2247"/>
      <c r="X61" s="2247"/>
      <c r="Y61" s="2247"/>
      <c r="Z61" s="2247"/>
      <c r="AA61" s="2247"/>
      <c r="AB61" s="2247"/>
      <c r="AC61" s="2248"/>
      <c r="AD61" s="2246" t="s">
        <v>466</v>
      </c>
      <c r="AE61" s="2247"/>
      <c r="AF61" s="2247"/>
      <c r="AG61" s="2247"/>
      <c r="AH61" s="2247"/>
      <c r="AI61" s="2247"/>
      <c r="AJ61" s="2247"/>
      <c r="AK61" s="2247"/>
      <c r="AL61" s="2246"/>
      <c r="AM61" s="2247"/>
      <c r="AN61" s="2247"/>
      <c r="AO61" s="2247"/>
      <c r="AP61" s="2247"/>
      <c r="AQ61" s="2247"/>
      <c r="AR61" s="2247"/>
      <c r="AS61" s="2900"/>
      <c r="AT61" s="2248"/>
      <c r="AU61" s="1259" t="s">
        <v>422</v>
      </c>
      <c r="AV61" s="1643"/>
      <c r="AW61" s="1625"/>
      <c r="AX61" s="1625" t="str">
        <f>IF(T61="","",T61)</f>
        <v>Схема подключения теплопотребляющей установки к коллектору источника тепловой энергии</v>
      </c>
      <c r="AY61" s="1625"/>
      <c r="AZ61" s="1625"/>
      <c r="BA61" s="1636">
        <v>0</v>
      </c>
    </row>
    <row s="1851" customFormat="1" customHeight="1" ht="21">
      <c r="A62" s="1364"/>
      <c r="B62" s="1364"/>
      <c r="C62" s="1364"/>
      <c r="D62" s="1364"/>
      <c r="E62" s="2260">
        <v>1</v>
      </c>
      <c r="F62" s="2260"/>
      <c r="G62" s="2260"/>
      <c r="H62" s="2260"/>
      <c r="I62" s="2287"/>
      <c r="J62" s="2257" t="str">
        <f>I61&amp;".1"</f>
        <v>2.1.1.1.1.1</v>
      </c>
      <c r="K62" s="1364"/>
      <c r="L62" s="1370" t="s">
        <v>423</v>
      </c>
      <c r="M62" s="1367"/>
      <c r="N62" s="1367"/>
      <c r="O62" s="1777"/>
      <c r="P62" s="2375"/>
      <c r="Q62" s="2375">
        <v>1</v>
      </c>
      <c r="R62" s="358"/>
      <c r="S62" s="2274" t="str">
        <f>$J62</f>
        <v>2.1.1.1.1.1</v>
      </c>
      <c r="T62" s="287" t="s">
        <v>424</v>
      </c>
      <c r="U62" s="301"/>
      <c r="V62" s="2246"/>
      <c r="W62" s="2247"/>
      <c r="X62" s="2247"/>
      <c r="Y62" s="2247"/>
      <c r="Z62" s="2247"/>
      <c r="AA62" s="2247"/>
      <c r="AB62" s="2247"/>
      <c r="AC62" s="2248"/>
      <c r="AD62" s="2246" t="s">
        <v>467</v>
      </c>
      <c r="AE62" s="2247"/>
      <c r="AF62" s="2247"/>
      <c r="AG62" s="2247"/>
      <c r="AH62" s="2247"/>
      <c r="AI62" s="2247"/>
      <c r="AJ62" s="2247"/>
      <c r="AK62" s="2247"/>
      <c r="AL62" s="2246"/>
      <c r="AM62" s="2247"/>
      <c r="AN62" s="2247"/>
      <c r="AO62" s="2247"/>
      <c r="AP62" s="2247"/>
      <c r="AQ62" s="2247"/>
      <c r="AR62" s="2247"/>
      <c r="AS62" s="2900"/>
      <c r="AT62" s="2248"/>
      <c r="AU62" s="1259" t="s">
        <v>425</v>
      </c>
      <c r="AV62" s="1643"/>
      <c r="AW62" s="1625"/>
      <c r="AX62" s="1625" t="str">
        <f>IF(T62="","",T62)</f>
        <v>Группа потребителей</v>
      </c>
      <c r="AY62" s="1625"/>
      <c r="AZ62" s="1625"/>
      <c r="BA62" s="1636">
        <v>0</v>
      </c>
    </row>
    <row s="1851" customFormat="1" customHeight="1" ht="21">
      <c r="A63" s="1364"/>
      <c r="B63" s="1364"/>
      <c r="C63" s="1364"/>
      <c r="D63" s="1364"/>
      <c r="E63" s="2260">
        <v>1</v>
      </c>
      <c r="F63" s="2260"/>
      <c r="G63" s="2260"/>
      <c r="H63" s="2260"/>
      <c r="I63" s="2287"/>
      <c r="J63" s="2287"/>
      <c r="K63" s="2257" t="str">
        <f>J62&amp;".1"</f>
        <v>2.1.1.1.1.1.1</v>
      </c>
      <c r="L63" s="1370" t="s">
        <v>426</v>
      </c>
      <c r="M63" s="1367"/>
      <c r="N63" s="1367"/>
      <c r="O63" s="1367"/>
      <c r="P63" s="2375"/>
      <c r="Q63" s="2375"/>
      <c r="R63" s="358">
        <v>1</v>
      </c>
      <c r="S63" s="2274" t="str">
        <f>$K63</f>
        <v>2.1.1.1.1.1.1</v>
      </c>
      <c r="T63" s="1348" t="s">
        <v>465</v>
      </c>
      <c r="U63" s="301"/>
      <c r="V63" s="752"/>
      <c r="W63" s="326"/>
      <c r="X63" s="752"/>
      <c r="Y63" s="1258"/>
      <c r="Z63" s="2603"/>
      <c r="AA63" s="2108" t="s">
        <v>61</v>
      </c>
      <c r="AB63" s="2603"/>
      <c r="AC63" s="2108" t="s">
        <v>61</v>
      </c>
      <c r="AD63" s="752">
        <v>2724.7</v>
      </c>
      <c r="AE63" s="326"/>
      <c r="AF63" s="752"/>
      <c r="AG63" s="1258"/>
      <c r="AH63" s="2603">
        <v>46388</v>
      </c>
      <c r="AI63" s="2108" t="s">
        <v>61</v>
      </c>
      <c r="AJ63" s="2603">
        <v>46568</v>
      </c>
      <c r="AK63" s="2108" t="s">
        <v>61</v>
      </c>
      <c r="AL63" s="752">
        <v>6866.81</v>
      </c>
      <c r="AM63" s="326"/>
      <c r="AN63" s="752"/>
      <c r="AO63" s="1258"/>
      <c r="AP63" s="2603">
        <v>46569</v>
      </c>
      <c r="AQ63" s="2108" t="s">
        <v>61</v>
      </c>
      <c r="AR63" s="2603">
        <v>46752</v>
      </c>
      <c r="AS63" s="2108" t="s">
        <v>61</v>
      </c>
      <c r="AT63" s="326"/>
      <c r="AU63" s="2254" t="s">
        <v>427</v>
      </c>
      <c r="AV63" s="1643">
        <f>STRCHECKDATE(V64:AT64)</f>
      </c>
      <c r="AW63" s="1625"/>
      <c r="AX63" s="1625" t="str">
        <f>IF(T63="","",T63)</f>
        <v>вода</v>
      </c>
      <c r="AY63" s="1625"/>
      <c r="AZ63" s="1625"/>
      <c r="BA63" s="1636">
        <v>0</v>
      </c>
    </row>
    <row s="1851" customFormat="1" customHeight="1" ht="0.75">
      <c r="A64" s="1364"/>
      <c r="B64" s="1364"/>
      <c r="C64" s="1364"/>
      <c r="D64" s="1364"/>
      <c r="E64" s="2260">
        <v>1</v>
      </c>
      <c r="F64" s="2260"/>
      <c r="G64" s="2260"/>
      <c r="H64" s="2260"/>
      <c r="I64" s="2287"/>
      <c r="J64" s="2287"/>
      <c r="K64" s="2257"/>
      <c r="L64" s="1370"/>
      <c r="M64" s="1367"/>
      <c r="N64" s="1367"/>
      <c r="O64" s="1367"/>
      <c r="P64" s="2375"/>
      <c r="Q64" s="2375"/>
      <c r="R64" s="358"/>
      <c r="S64" s="2514"/>
      <c r="T64" s="301"/>
      <c r="U64" s="301"/>
      <c r="V64" s="326"/>
      <c r="W64" s="326"/>
      <c r="X64" s="326"/>
      <c r="Y64" s="329" t="str">
        <f>Z63&amp;"-"&amp;AB63</f>
        <v>-</v>
      </c>
      <c r="Z64" s="2310"/>
      <c r="AA64" s="2108"/>
      <c r="AB64" s="2310"/>
      <c r="AC64" s="2108"/>
      <c r="AD64" s="326"/>
      <c r="AE64" s="326"/>
      <c r="AF64" s="326"/>
      <c r="AG64" s="329" t="str">
        <f>AH63&amp;"-"&amp;AJ63</f>
        <v>46388-46568</v>
      </c>
      <c r="AH64" s="2310"/>
      <c r="AI64" s="2108"/>
      <c r="AJ64" s="2310"/>
      <c r="AK64" s="2108"/>
      <c r="AL64" s="326"/>
      <c r="AM64" s="326"/>
      <c r="AN64" s="326"/>
      <c r="AO64" s="329" t="str">
        <f>AP63&amp;"-"&amp;AR63</f>
        <v>46569-46752</v>
      </c>
      <c r="AP64" s="2310"/>
      <c r="AQ64" s="2108"/>
      <c r="AR64" s="2310"/>
      <c r="AS64" s="2108"/>
      <c r="AT64" s="326"/>
      <c r="AU64" s="2255"/>
      <c r="AV64" s="1643"/>
      <c r="AW64" s="1625"/>
      <c r="AX64" s="1625" t="str">
        <f>IF(T64="","",T64)</f>
        <v/>
      </c>
      <c r="AY64" s="1625"/>
      <c r="AZ64" s="1625"/>
      <c r="BA64" s="1636">
        <v>0</v>
      </c>
    </row>
    <row s="1851" customFormat="1" customHeight="1" ht="15">
      <c r="A65" s="1364"/>
      <c r="B65" s="1364"/>
      <c r="C65" s="1364"/>
      <c r="D65" s="1364"/>
      <c r="E65" s="2260">
        <v>1</v>
      </c>
      <c r="F65" s="2260"/>
      <c r="G65" s="2260"/>
      <c r="H65" s="2260"/>
      <c r="I65" s="2287"/>
      <c r="J65" s="2257"/>
      <c r="K65" s="1364"/>
      <c r="L65" s="1370"/>
      <c r="M65" s="1367"/>
      <c r="N65" s="1367"/>
      <c r="O65" s="1777"/>
      <c r="P65" s="2375"/>
      <c r="Q65" s="2375"/>
      <c r="R65" s="357"/>
      <c r="S65" s="2728"/>
      <c r="T65" s="2729" t="s">
        <v>428</v>
      </c>
      <c r="U65" s="2730"/>
      <c r="V65" s="2731"/>
      <c r="W65" s="2732"/>
      <c r="X65" s="2733"/>
      <c r="Y65" s="2734"/>
      <c r="Z65" s="2735"/>
      <c r="AA65" s="2736"/>
      <c r="AB65" s="2737"/>
      <c r="AC65" s="2738"/>
      <c r="AD65" s="2739"/>
      <c r="AE65" s="2740"/>
      <c r="AF65" s="2741"/>
      <c r="AG65" s="2742"/>
      <c r="AH65" s="2743"/>
      <c r="AI65" s="2744"/>
      <c r="AJ65" s="2745"/>
      <c r="AK65" s="2746"/>
      <c r="AL65" s="2747"/>
      <c r="AM65" s="2748"/>
      <c r="AN65" s="2749"/>
      <c r="AO65" s="2750"/>
      <c r="AP65" s="2751"/>
      <c r="AQ65" s="2752"/>
      <c r="AR65" s="2753"/>
      <c r="AS65" s="2922"/>
      <c r="AT65" s="2755"/>
      <c r="AU65" s="2256"/>
      <c r="AV65" s="1643"/>
      <c r="AW65" s="1625"/>
      <c r="AX65" s="1625" t="str">
        <f>IF(T65="","",T65)</f>
        <v>Добавить вид теплоносителя (параметры теплоносителя)</v>
      </c>
      <c r="AY65" s="1625"/>
      <c r="AZ65" s="1625"/>
      <c r="BA65" s="1636">
        <v>0</v>
      </c>
    </row>
    <row s="1851" customFormat="1" customHeight="1" ht="21">
      <c r="A66" s="1364"/>
      <c r="B66" s="1364"/>
      <c r="C66" s="1364"/>
      <c r="D66" s="1364"/>
      <c r="E66" s="2260"/>
      <c r="F66" s="2260"/>
      <c r="G66" s="2260"/>
      <c r="H66" s="2260"/>
      <c r="I66" s="2287"/>
      <c r="J66" s="2257" t="str">
        <f>I61&amp;".2"</f>
        <v>2.1.1.1.1.2</v>
      </c>
      <c r="K66" s="1364"/>
      <c r="L66" s="1370" t="s">
        <v>423</v>
      </c>
      <c r="M66" s="1367"/>
      <c r="N66" s="1367"/>
      <c r="O66" s="1777"/>
      <c r="P66" s="2375"/>
      <c r="Q66" s="684" t="s">
        <v>104</v>
      </c>
      <c r="R66" s="358"/>
      <c r="S66" s="2274" t="str">
        <f>$J66</f>
        <v>2.1.1.1.1.2</v>
      </c>
      <c r="T66" s="287" t="s">
        <v>424</v>
      </c>
      <c r="U66" s="301"/>
      <c r="V66" s="2246"/>
      <c r="W66" s="2247"/>
      <c r="X66" s="2247"/>
      <c r="Y66" s="2247"/>
      <c r="Z66" s="2247"/>
      <c r="AA66" s="2247"/>
      <c r="AB66" s="2247"/>
      <c r="AC66" s="2248"/>
      <c r="AD66" s="2246" t="s">
        <v>468</v>
      </c>
      <c r="AE66" s="2247"/>
      <c r="AF66" s="2247"/>
      <c r="AG66" s="2247"/>
      <c r="AH66" s="2247"/>
      <c r="AI66" s="2247"/>
      <c r="AJ66" s="2247"/>
      <c r="AK66" s="2247"/>
      <c r="AL66" s="2246"/>
      <c r="AM66" s="2247"/>
      <c r="AN66" s="2247"/>
      <c r="AO66" s="2247"/>
      <c r="AP66" s="2247"/>
      <c r="AQ66" s="2247"/>
      <c r="AR66" s="2247"/>
      <c r="AS66" s="2900"/>
      <c r="AT66" s="2248"/>
      <c r="AU66" s="1259" t="s">
        <v>425</v>
      </c>
      <c r="AV66" s="1643"/>
      <c r="AW66" s="1625"/>
      <c r="AX66" s="1625" t="str">
        <f>IF(T66="","",T66)</f>
        <v>Группа потребителей</v>
      </c>
      <c r="AY66" s="1625"/>
      <c r="AZ66" s="1625"/>
      <c r="BA66" s="1636">
        <v>0</v>
      </c>
    </row>
    <row s="1851" customFormat="1" customHeight="1" ht="21">
      <c r="A67" s="1364"/>
      <c r="B67" s="1364"/>
      <c r="C67" s="1364"/>
      <c r="D67" s="1364"/>
      <c r="E67" s="2260"/>
      <c r="F67" s="2260"/>
      <c r="G67" s="2260"/>
      <c r="H67" s="2260"/>
      <c r="I67" s="2287"/>
      <c r="J67" s="2287" t="str">
        <f>I61&amp;".1"</f>
        <v>2.1.1.1.1.1</v>
      </c>
      <c r="K67" s="2257" t="str">
        <f>J66&amp;".1"</f>
        <v>2.1.1.1.1.2.1</v>
      </c>
      <c r="L67" s="1370" t="s">
        <v>426</v>
      </c>
      <c r="M67" s="1367"/>
      <c r="N67" s="1367"/>
      <c r="O67" s="1367"/>
      <c r="P67" s="2375"/>
      <c r="Q67" s="2375"/>
      <c r="R67" s="358">
        <v>1</v>
      </c>
      <c r="S67" s="2274" t="str">
        <f>$K67</f>
        <v>2.1.1.1.1.2.1</v>
      </c>
      <c r="T67" s="1348" t="s">
        <v>465</v>
      </c>
      <c r="U67" s="301"/>
      <c r="V67" s="752"/>
      <c r="W67" s="326"/>
      <c r="X67" s="752"/>
      <c r="Y67" s="1258"/>
      <c r="Z67" s="2603"/>
      <c r="AA67" s="2108" t="s">
        <v>61</v>
      </c>
      <c r="AB67" s="2603"/>
      <c r="AC67" s="2108" t="s">
        <v>61</v>
      </c>
      <c r="AD67" s="752">
        <v>3324.13</v>
      </c>
      <c r="AE67" s="326"/>
      <c r="AF67" s="752"/>
      <c r="AG67" s="1258"/>
      <c r="AH67" s="2603">
        <v>46388</v>
      </c>
      <c r="AI67" s="2108" t="s">
        <v>61</v>
      </c>
      <c r="AJ67" s="2603">
        <v>46568</v>
      </c>
      <c r="AK67" s="2108" t="s">
        <v>61</v>
      </c>
      <c r="AL67" s="752">
        <v>8377.51</v>
      </c>
      <c r="AM67" s="326"/>
      <c r="AN67" s="752"/>
      <c r="AO67" s="1258"/>
      <c r="AP67" s="2603">
        <v>46569</v>
      </c>
      <c r="AQ67" s="2108" t="s">
        <v>61</v>
      </c>
      <c r="AR67" s="2603">
        <v>46752</v>
      </c>
      <c r="AS67" s="2108" t="s">
        <v>61</v>
      </c>
      <c r="AT67" s="326"/>
      <c r="AU67" s="2254" t="s">
        <v>427</v>
      </c>
      <c r="AV67" s="1643">
        <f>STRCHECKDATE(V68:AT68)</f>
      </c>
      <c r="AW67" s="1625"/>
      <c r="AX67" s="1625" t="str">
        <f>IF(T67="","",T67)</f>
        <v>вода</v>
      </c>
      <c r="AY67" s="1625"/>
      <c r="AZ67" s="1625"/>
      <c r="BA67" s="1636">
        <v>0</v>
      </c>
    </row>
    <row s="1851" customFormat="1" customHeight="1" ht="0.75">
      <c r="A68" s="1364"/>
      <c r="B68" s="1364"/>
      <c r="C68" s="1364"/>
      <c r="D68" s="1364"/>
      <c r="E68" s="2260"/>
      <c r="F68" s="2260"/>
      <c r="G68" s="2260"/>
      <c r="H68" s="2260"/>
      <c r="I68" s="2287"/>
      <c r="J68" s="2287" t="str">
        <f>I61&amp;".1"</f>
        <v>2.1.1.1.1.1</v>
      </c>
      <c r="K68" s="2257"/>
      <c r="L68" s="1370"/>
      <c r="M68" s="1367"/>
      <c r="N68" s="1367"/>
      <c r="O68" s="1367"/>
      <c r="P68" s="2375"/>
      <c r="Q68" s="2375"/>
      <c r="R68" s="358"/>
      <c r="S68" s="2514"/>
      <c r="T68" s="301"/>
      <c r="U68" s="301"/>
      <c r="V68" s="326"/>
      <c r="W68" s="326"/>
      <c r="X68" s="326"/>
      <c r="Y68" s="329" t="str">
        <f>Z67&amp;"-"&amp;AB67</f>
        <v>-</v>
      </c>
      <c r="Z68" s="2310"/>
      <c r="AA68" s="2108"/>
      <c r="AB68" s="2310"/>
      <c r="AC68" s="2108"/>
      <c r="AD68" s="326"/>
      <c r="AE68" s="326"/>
      <c r="AF68" s="326"/>
      <c r="AG68" s="329" t="str">
        <f>AH67&amp;"-"&amp;AJ67</f>
        <v>46388-46568</v>
      </c>
      <c r="AH68" s="2310"/>
      <c r="AI68" s="2108"/>
      <c r="AJ68" s="2310"/>
      <c r="AK68" s="2108"/>
      <c r="AL68" s="326"/>
      <c r="AM68" s="326"/>
      <c r="AN68" s="326"/>
      <c r="AO68" s="329" t="str">
        <f>AP67&amp;"-"&amp;AR67</f>
        <v>46569-46752</v>
      </c>
      <c r="AP68" s="2310"/>
      <c r="AQ68" s="2108"/>
      <c r="AR68" s="2310"/>
      <c r="AS68" s="2108"/>
      <c r="AT68" s="326"/>
      <c r="AU68" s="2255"/>
      <c r="AV68" s="1643"/>
      <c r="AW68" s="1625"/>
      <c r="AX68" s="1625" t="str">
        <f>IF(T68="","",T68)</f>
        <v/>
      </c>
      <c r="AY68" s="1625"/>
      <c r="AZ68" s="1625"/>
      <c r="BA68" s="1636">
        <v>0</v>
      </c>
    </row>
    <row s="1851" customFormat="1" customHeight="1" ht="15">
      <c r="A69" s="1364"/>
      <c r="B69" s="1364"/>
      <c r="C69" s="1364"/>
      <c r="D69" s="1364"/>
      <c r="E69" s="2260"/>
      <c r="F69" s="2260"/>
      <c r="G69" s="2260"/>
      <c r="H69" s="2260"/>
      <c r="I69" s="2287"/>
      <c r="J69" s="2257" t="str">
        <f>I61&amp;".1"</f>
        <v>2.1.1.1.1.1</v>
      </c>
      <c r="K69" s="1364"/>
      <c r="L69" s="1370"/>
      <c r="M69" s="1367"/>
      <c r="N69" s="1367"/>
      <c r="O69" s="1777"/>
      <c r="P69" s="2375"/>
      <c r="Q69" s="2375"/>
      <c r="R69" s="357"/>
      <c r="S69" s="2756"/>
      <c r="T69" s="2757" t="s">
        <v>428</v>
      </c>
      <c r="U69" s="2758"/>
      <c r="V69" s="2759"/>
      <c r="W69" s="2760"/>
      <c r="X69" s="2761"/>
      <c r="Y69" s="2762"/>
      <c r="Z69" s="2763"/>
      <c r="AA69" s="2764"/>
      <c r="AB69" s="2765"/>
      <c r="AC69" s="2766"/>
      <c r="AD69" s="2767"/>
      <c r="AE69" s="2768"/>
      <c r="AF69" s="2769"/>
      <c r="AG69" s="2770"/>
      <c r="AH69" s="2771"/>
      <c r="AI69" s="2772"/>
      <c r="AJ69" s="2773"/>
      <c r="AK69" s="2774"/>
      <c r="AL69" s="2775"/>
      <c r="AM69" s="2776"/>
      <c r="AN69" s="2777"/>
      <c r="AO69" s="2778"/>
      <c r="AP69" s="2779"/>
      <c r="AQ69" s="2780"/>
      <c r="AR69" s="2781"/>
      <c r="AS69" s="2923"/>
      <c r="AT69" s="2783"/>
      <c r="AU69" s="2256"/>
      <c r="AV69" s="1643"/>
      <c r="AW69" s="1625"/>
      <c r="AX69" s="1625" t="str">
        <f>IF(T69="","",T69)</f>
        <v>Добавить вид теплоносителя (параметры теплоносителя)</v>
      </c>
      <c r="AY69" s="1625"/>
      <c r="AZ69" s="1625"/>
      <c r="BA69" s="1636">
        <v>0</v>
      </c>
    </row>
    <row s="1851" customFormat="1" customHeight="1" ht="21">
      <c r="A70" s="1364"/>
      <c r="B70" s="1364"/>
      <c r="C70" s="1364"/>
      <c r="D70" s="1364"/>
      <c r="E70" s="2260"/>
      <c r="F70" s="2260"/>
      <c r="G70" s="2260"/>
      <c r="H70" s="2260"/>
      <c r="I70" s="2287"/>
      <c r="J70" s="2257" t="str">
        <f>I61&amp;".3"</f>
        <v>2.1.1.1.1.3</v>
      </c>
      <c r="K70" s="1364"/>
      <c r="L70" s="1370" t="s">
        <v>423</v>
      </c>
      <c r="M70" s="1367"/>
      <c r="N70" s="1367"/>
      <c r="O70" s="1777"/>
      <c r="P70" s="2375"/>
      <c r="Q70" s="684" t="s">
        <v>104</v>
      </c>
      <c r="R70" s="358"/>
      <c r="S70" s="2274" t="str">
        <f>$J70</f>
        <v>2.1.1.1.1.3</v>
      </c>
      <c r="T70" s="287" t="s">
        <v>424</v>
      </c>
      <c r="U70" s="301"/>
      <c r="V70" s="2246"/>
      <c r="W70" s="2247"/>
      <c r="X70" s="2247"/>
      <c r="Y70" s="2247"/>
      <c r="Z70" s="2247"/>
      <c r="AA70" s="2247"/>
      <c r="AB70" s="2247"/>
      <c r="AC70" s="2248"/>
      <c r="AD70" s="2246" t="s">
        <v>464</v>
      </c>
      <c r="AE70" s="2247"/>
      <c r="AF70" s="2247"/>
      <c r="AG70" s="2247"/>
      <c r="AH70" s="2247"/>
      <c r="AI70" s="2247"/>
      <c r="AJ70" s="2247"/>
      <c r="AK70" s="2247"/>
      <c r="AL70" s="2246"/>
      <c r="AM70" s="2247"/>
      <c r="AN70" s="2247"/>
      <c r="AO70" s="2247"/>
      <c r="AP70" s="2247"/>
      <c r="AQ70" s="2247"/>
      <c r="AR70" s="2247"/>
      <c r="AS70" s="2900"/>
      <c r="AT70" s="2248"/>
      <c r="AU70" s="1259" t="s">
        <v>425</v>
      </c>
      <c r="AV70" s="1643"/>
      <c r="AW70" s="1625"/>
      <c r="AX70" s="1625" t="str">
        <f>IF(T70="","",T70)</f>
        <v>Группа потребителей</v>
      </c>
      <c r="AY70" s="1625"/>
      <c r="AZ70" s="1625"/>
      <c r="BA70" s="1636">
        <v>0</v>
      </c>
    </row>
    <row s="1851" customFormat="1" customHeight="1" ht="21">
      <c r="A71" s="1364"/>
      <c r="B71" s="1364"/>
      <c r="C71" s="1364"/>
      <c r="D71" s="1364"/>
      <c r="E71" s="2260"/>
      <c r="F71" s="2260"/>
      <c r="G71" s="2260"/>
      <c r="H71" s="2260"/>
      <c r="I71" s="2287"/>
      <c r="J71" s="2287" t="str">
        <f>I61&amp;".2"</f>
        <v>2.1.1.1.1.2</v>
      </c>
      <c r="K71" s="2257" t="str">
        <f>J70&amp;".1"</f>
        <v>2.1.1.1.1.3.1</v>
      </c>
      <c r="L71" s="1370" t="s">
        <v>426</v>
      </c>
      <c r="M71" s="1367"/>
      <c r="N71" s="1367"/>
      <c r="O71" s="1367"/>
      <c r="P71" s="2375"/>
      <c r="Q71" s="2375"/>
      <c r="R71" s="358">
        <v>1</v>
      </c>
      <c r="S71" s="2274" t="str">
        <f>$K71</f>
        <v>2.1.1.1.1.3.1</v>
      </c>
      <c r="T71" s="1348" t="s">
        <v>465</v>
      </c>
      <c r="U71" s="301"/>
      <c r="V71" s="752"/>
      <c r="W71" s="326"/>
      <c r="X71" s="752"/>
      <c r="Y71" s="1258"/>
      <c r="Z71" s="2603"/>
      <c r="AA71" s="2108" t="s">
        <v>61</v>
      </c>
      <c r="AB71" s="2603"/>
      <c r="AC71" s="2108" t="s">
        <v>61</v>
      </c>
      <c r="AD71" s="752">
        <v>2724.7</v>
      </c>
      <c r="AE71" s="326"/>
      <c r="AF71" s="752"/>
      <c r="AG71" s="1258"/>
      <c r="AH71" s="2603">
        <v>46388</v>
      </c>
      <c r="AI71" s="2108" t="s">
        <v>61</v>
      </c>
      <c r="AJ71" s="2603">
        <v>46568</v>
      </c>
      <c r="AK71" s="2108" t="s">
        <v>61</v>
      </c>
      <c r="AL71" s="752">
        <v>6866.81</v>
      </c>
      <c r="AM71" s="326"/>
      <c r="AN71" s="752"/>
      <c r="AO71" s="1258"/>
      <c r="AP71" s="2603">
        <v>46569</v>
      </c>
      <c r="AQ71" s="2108" t="s">
        <v>61</v>
      </c>
      <c r="AR71" s="2603">
        <v>46752</v>
      </c>
      <c r="AS71" s="2108" t="s">
        <v>61</v>
      </c>
      <c r="AT71" s="326"/>
      <c r="AU71" s="2254" t="s">
        <v>427</v>
      </c>
      <c r="AV71" s="1643">
        <f>STRCHECKDATE(V72:AT72)</f>
      </c>
      <c r="AW71" s="1625"/>
      <c r="AX71" s="1625" t="str">
        <f>IF(T71="","",T71)</f>
        <v>вода</v>
      </c>
      <c r="AY71" s="1625"/>
      <c r="AZ71" s="1625"/>
      <c r="BA71" s="1636">
        <v>0</v>
      </c>
    </row>
    <row s="1851" customFormat="1" customHeight="1" ht="0.75">
      <c r="A72" s="1364"/>
      <c r="B72" s="1364"/>
      <c r="C72" s="1364"/>
      <c r="D72" s="1364"/>
      <c r="E72" s="2260"/>
      <c r="F72" s="2260"/>
      <c r="G72" s="2260"/>
      <c r="H72" s="2260"/>
      <c r="I72" s="2287"/>
      <c r="J72" s="2287" t="str">
        <f>I61&amp;".2"</f>
        <v>2.1.1.1.1.2</v>
      </c>
      <c r="K72" s="2257"/>
      <c r="L72" s="1370"/>
      <c r="M72" s="1367"/>
      <c r="N72" s="1367"/>
      <c r="O72" s="1367"/>
      <c r="P72" s="2375"/>
      <c r="Q72" s="2375"/>
      <c r="R72" s="358"/>
      <c r="S72" s="2514"/>
      <c r="T72" s="301"/>
      <c r="U72" s="301"/>
      <c r="V72" s="326"/>
      <c r="W72" s="326"/>
      <c r="X72" s="326"/>
      <c r="Y72" s="329" t="str">
        <f>Z71&amp;"-"&amp;AB71</f>
        <v>-</v>
      </c>
      <c r="Z72" s="2310"/>
      <c r="AA72" s="2108"/>
      <c r="AB72" s="2310"/>
      <c r="AC72" s="2108"/>
      <c r="AD72" s="326"/>
      <c r="AE72" s="326"/>
      <c r="AF72" s="326"/>
      <c r="AG72" s="329" t="str">
        <f>AH71&amp;"-"&amp;AJ71</f>
        <v>46388-46568</v>
      </c>
      <c r="AH72" s="2310"/>
      <c r="AI72" s="2108"/>
      <c r="AJ72" s="2310"/>
      <c r="AK72" s="2108"/>
      <c r="AL72" s="326"/>
      <c r="AM72" s="326"/>
      <c r="AN72" s="326"/>
      <c r="AO72" s="329" t="str">
        <f>AP71&amp;"-"&amp;AR71</f>
        <v>46569-46752</v>
      </c>
      <c r="AP72" s="2310"/>
      <c r="AQ72" s="2108"/>
      <c r="AR72" s="2310"/>
      <c r="AS72" s="2108"/>
      <c r="AT72" s="326"/>
      <c r="AU72" s="2255"/>
      <c r="AV72" s="1643"/>
      <c r="AW72" s="1625"/>
      <c r="AX72" s="1625" t="str">
        <f>IF(T72="","",T72)</f>
        <v/>
      </c>
      <c r="AY72" s="1625"/>
      <c r="AZ72" s="1625"/>
      <c r="BA72" s="1636">
        <v>0</v>
      </c>
    </row>
    <row s="1851" customFormat="1" customHeight="1" ht="15">
      <c r="A73" s="1364"/>
      <c r="B73" s="1364"/>
      <c r="C73" s="1364"/>
      <c r="D73" s="1364"/>
      <c r="E73" s="2260"/>
      <c r="F73" s="2260"/>
      <c r="G73" s="2260"/>
      <c r="H73" s="2260"/>
      <c r="I73" s="2287"/>
      <c r="J73" s="2257" t="str">
        <f>I61&amp;".2"</f>
        <v>2.1.1.1.1.2</v>
      </c>
      <c r="K73" s="1364"/>
      <c r="L73" s="1370"/>
      <c r="M73" s="1367"/>
      <c r="N73" s="1367"/>
      <c r="O73" s="1777"/>
      <c r="P73" s="2375"/>
      <c r="Q73" s="2375"/>
      <c r="R73" s="357"/>
      <c r="S73" s="2784"/>
      <c r="T73" s="2785" t="s">
        <v>428</v>
      </c>
      <c r="U73" s="2786"/>
      <c r="V73" s="2787"/>
      <c r="W73" s="2788"/>
      <c r="X73" s="2789"/>
      <c r="Y73" s="2790"/>
      <c r="Z73" s="2791"/>
      <c r="AA73" s="2792"/>
      <c r="AB73" s="2793"/>
      <c r="AC73" s="2794"/>
      <c r="AD73" s="2795"/>
      <c r="AE73" s="2796"/>
      <c r="AF73" s="2797"/>
      <c r="AG73" s="2798"/>
      <c r="AH73" s="2799"/>
      <c r="AI73" s="2800"/>
      <c r="AJ73" s="2801"/>
      <c r="AK73" s="2802"/>
      <c r="AL73" s="2803"/>
      <c r="AM73" s="2804"/>
      <c r="AN73" s="2805"/>
      <c r="AO73" s="2806"/>
      <c r="AP73" s="2807"/>
      <c r="AQ73" s="2808"/>
      <c r="AR73" s="2809"/>
      <c r="AS73" s="2924"/>
      <c r="AT73" s="2811"/>
      <c r="AU73" s="2256"/>
      <c r="AV73" s="1643"/>
      <c r="AW73" s="1625"/>
      <c r="AX73" s="1625" t="str">
        <f>IF(T73="","",T73)</f>
        <v>Добавить вид теплоносителя (параметры теплоносителя)</v>
      </c>
      <c r="AY73" s="1625"/>
      <c r="AZ73" s="1625"/>
      <c r="BA73" s="1636">
        <v>0</v>
      </c>
    </row>
    <row s="1851" customFormat="1" customHeight="1" ht="15">
      <c r="A74" s="1364"/>
      <c r="B74" s="1364"/>
      <c r="C74" s="1364"/>
      <c r="D74" s="1364"/>
      <c r="E74" s="2260">
        <v>1</v>
      </c>
      <c r="F74" s="2260"/>
      <c r="G74" s="2260"/>
      <c r="H74" s="2260"/>
      <c r="I74" s="2257"/>
      <c r="J74" s="1364"/>
      <c r="K74" s="1364"/>
      <c r="L74" s="1370"/>
      <c r="M74" s="1367"/>
      <c r="N74" s="1777"/>
      <c r="O74" s="1777"/>
      <c r="P74" s="2375"/>
      <c r="Q74" s="2375"/>
      <c r="R74" s="357"/>
      <c r="S74" s="2812"/>
      <c r="T74" s="2813" t="s">
        <v>429</v>
      </c>
      <c r="U74" s="2814"/>
      <c r="V74" s="2815"/>
      <c r="W74" s="2816"/>
      <c r="X74" s="2817"/>
      <c r="Y74" s="2818"/>
      <c r="Z74" s="2819"/>
      <c r="AA74" s="2820"/>
      <c r="AB74" s="2821"/>
      <c r="AC74" s="2822"/>
      <c r="AD74" s="2823"/>
      <c r="AE74" s="2824"/>
      <c r="AF74" s="2825"/>
      <c r="AG74" s="2826"/>
      <c r="AH74" s="2827"/>
      <c r="AI74" s="2828"/>
      <c r="AJ74" s="2829"/>
      <c r="AK74" s="2830"/>
      <c r="AL74" s="2831"/>
      <c r="AM74" s="2832"/>
      <c r="AN74" s="2833"/>
      <c r="AO74" s="2834"/>
      <c r="AP74" s="2835"/>
      <c r="AQ74" s="2836"/>
      <c r="AR74" s="2837"/>
      <c r="AS74" s="2925"/>
      <c r="AT74" s="2839"/>
      <c r="AU74" s="2840"/>
      <c r="AV74" s="1643"/>
      <c r="AW74" s="1625"/>
      <c r="AX74" s="1625" t="str">
        <f>IF(T74="","",T74)</f>
        <v>Добавить группу потребителей</v>
      </c>
      <c r="AY74" s="1625"/>
      <c r="AZ74" s="1625"/>
      <c r="BA74" s="1636">
        <v>0</v>
      </c>
    </row>
    <row s="1851" customFormat="1" customHeight="1" ht="14.25">
      <c r="A75" s="1364"/>
      <c r="B75" s="1364"/>
      <c r="C75" s="1364"/>
      <c r="D75" s="1364"/>
      <c r="E75" s="2260">
        <v>1</v>
      </c>
      <c r="F75" s="2260"/>
      <c r="G75" s="2260"/>
      <c r="H75" s="2259"/>
      <c r="I75" s="1364"/>
      <c r="J75" s="1364"/>
      <c r="K75" s="1364"/>
      <c r="L75" s="1370"/>
      <c r="M75" s="1366"/>
      <c r="N75" s="1366"/>
      <c r="O75" s="1367"/>
      <c r="P75" s="1824"/>
      <c r="Q75" s="376"/>
      <c r="R75" s="356"/>
      <c r="S75" s="2841"/>
      <c r="T75" s="2842" t="s">
        <v>430</v>
      </c>
      <c r="U75" s="2843"/>
      <c r="V75" s="2844"/>
      <c r="W75" s="2845"/>
      <c r="X75" s="2846"/>
      <c r="Y75" s="2847"/>
      <c r="Z75" s="2848"/>
      <c r="AA75" s="2849"/>
      <c r="AB75" s="2850"/>
      <c r="AC75" s="2851"/>
      <c r="AD75" s="2852"/>
      <c r="AE75" s="2853"/>
      <c r="AF75" s="2854"/>
      <c r="AG75" s="2855"/>
      <c r="AH75" s="2856"/>
      <c r="AI75" s="2857"/>
      <c r="AJ75" s="2858"/>
      <c r="AK75" s="2859"/>
      <c r="AL75" s="2860"/>
      <c r="AM75" s="2861"/>
      <c r="AN75" s="2862"/>
      <c r="AO75" s="2863"/>
      <c r="AP75" s="2864"/>
      <c r="AQ75" s="2865"/>
      <c r="AR75" s="2866"/>
      <c r="AS75" s="2926"/>
      <c r="AT75" s="2868"/>
      <c r="AU75" s="2869"/>
      <c r="AV75" s="1643"/>
      <c r="AW75" s="1625"/>
      <c r="AX75" s="1625" t="str">
        <f>IF(T75="","",T75)</f>
        <v>Добавить схему подключения</v>
      </c>
      <c r="AY75" s="1625"/>
      <c r="AZ75" s="1625"/>
      <c r="BA75" s="1636">
        <v>0</v>
      </c>
    </row>
    <row s="623" customFormat="1" customHeight="1" ht="0.75">
      <c r="A76" s="1344"/>
      <c r="B76" s="1344"/>
      <c r="C76" s="1344"/>
      <c r="D76" s="1344"/>
      <c r="E76" s="2260">
        <v>1</v>
      </c>
      <c r="F76" s="2260"/>
      <c r="G76" s="2259"/>
      <c r="H76" s="1344"/>
      <c r="I76" s="1344"/>
      <c r="J76" s="1344"/>
      <c r="K76" s="1344"/>
      <c r="L76" s="1546"/>
      <c r="M76" s="1316"/>
      <c r="N76" s="1316"/>
      <c r="O76" s="1643"/>
      <c r="P76" s="1317"/>
      <c r="Q76" s="1345"/>
      <c r="R76" s="1317"/>
      <c r="S76" s="1319"/>
      <c r="T76" s="1320" t="s">
        <v>176</v>
      </c>
      <c r="U76" s="1321"/>
      <c r="V76" s="1321"/>
      <c r="W76" s="1321"/>
      <c r="X76" s="1321"/>
      <c r="Y76" s="1321"/>
      <c r="Z76" s="1321"/>
      <c r="AA76" s="1321"/>
      <c r="AB76" s="1321"/>
      <c r="AC76" s="1321"/>
      <c r="AD76" s="1321"/>
      <c r="AE76" s="1321"/>
      <c r="AF76" s="1321"/>
      <c r="AG76" s="1321"/>
      <c r="AH76" s="1321"/>
      <c r="AI76" s="1321"/>
      <c r="AJ76" s="1321"/>
      <c r="AK76" s="1321"/>
      <c r="AL76" s="1321"/>
      <c r="AM76" s="1321"/>
      <c r="AN76" s="1321"/>
      <c r="AO76" s="1321"/>
      <c r="AP76" s="1321"/>
      <c r="AQ76" s="1321"/>
      <c r="AR76" s="1321"/>
      <c r="AS76" s="1321"/>
      <c r="AT76" s="1321"/>
      <c r="AU76" s="1321"/>
      <c r="AV76" s="1643"/>
      <c r="AW76" s="1625"/>
      <c r="AX76" s="1625" t="str">
        <f>IF(T76="","",T76)</f>
        <v>Добавить источник для дифференциации</v>
      </c>
      <c r="AY76" s="1625"/>
      <c r="AZ76" s="1625"/>
      <c r="BA76" s="1643">
        <v>0</v>
      </c>
    </row>
    <row s="623" customFormat="1" customHeight="1" ht="0.75">
      <c r="A77" s="1344"/>
      <c r="B77" s="1344"/>
      <c r="C77" s="1344"/>
      <c r="D77" s="1344"/>
      <c r="E77" s="2260">
        <v>1</v>
      </c>
      <c r="F77" s="2259"/>
      <c r="G77" s="1344"/>
      <c r="H77" s="1344"/>
      <c r="I77" s="1344"/>
      <c r="J77" s="1344"/>
      <c r="K77" s="1344"/>
      <c r="L77" s="1546"/>
      <c r="M77" s="1322"/>
      <c r="N77" s="1322"/>
      <c r="O77" s="1643"/>
      <c r="P77" s="1317"/>
      <c r="Q77" s="1345"/>
      <c r="R77" s="1317"/>
      <c r="S77" s="1323"/>
      <c r="T77" s="1324" t="s">
        <v>177</v>
      </c>
      <c r="U77" s="1325"/>
      <c r="V77" s="1325"/>
      <c r="W77" s="1325"/>
      <c r="X77" s="1325"/>
      <c r="Y77" s="1325"/>
      <c r="Z77" s="1325"/>
      <c r="AA77" s="1325"/>
      <c r="AB77" s="1325"/>
      <c r="AC77" s="1325"/>
      <c r="AD77" s="1325"/>
      <c r="AE77" s="1325"/>
      <c r="AF77" s="1325"/>
      <c r="AG77" s="1325"/>
      <c r="AH77" s="1325"/>
      <c r="AI77" s="1325"/>
      <c r="AJ77" s="1325"/>
      <c r="AK77" s="1325"/>
      <c r="AL77" s="1325"/>
      <c r="AM77" s="1325"/>
      <c r="AN77" s="1325"/>
      <c r="AO77" s="1325"/>
      <c r="AP77" s="1325"/>
      <c r="AQ77" s="1325"/>
      <c r="AR77" s="1325"/>
      <c r="AS77" s="1325"/>
      <c r="AT77" s="1325"/>
      <c r="AU77" s="1325"/>
      <c r="AV77" s="1643"/>
      <c r="AW77" s="1625"/>
      <c r="AX77" s="1625" t="str">
        <f>IF(T77="","",T77)</f>
        <v>Добавить централизованную систему для дифференциации</v>
      </c>
      <c r="AY77" s="1625"/>
      <c r="AZ77" s="1625"/>
      <c r="BA77" s="1643">
        <v>0</v>
      </c>
    </row>
    <row s="623" customFormat="1" customHeight="1" ht="0.75">
      <c r="A78" s="1344"/>
      <c r="B78" s="1344"/>
      <c r="C78" s="1344"/>
      <c r="D78" s="1344"/>
      <c r="E78" s="2259">
        <v>1</v>
      </c>
      <c r="F78" s="1344"/>
      <c r="G78" s="1344"/>
      <c r="H78" s="1344"/>
      <c r="I78" s="1344"/>
      <c r="J78" s="1344"/>
      <c r="K78" s="1344"/>
      <c r="L78" s="1546"/>
      <c r="M78" s="1322"/>
      <c r="N78" s="1322"/>
      <c r="O78" s="1643"/>
      <c r="P78" s="1317"/>
      <c r="Q78" s="1345"/>
      <c r="R78" s="1317"/>
      <c r="S78" s="1323"/>
      <c r="T78" s="1326" t="s">
        <v>178</v>
      </c>
      <c r="U78" s="1325"/>
      <c r="V78" s="1325"/>
      <c r="W78" s="1325"/>
      <c r="X78" s="1325"/>
      <c r="Y78" s="1325"/>
      <c r="Z78" s="1325"/>
      <c r="AA78" s="1325"/>
      <c r="AB78" s="1325"/>
      <c r="AC78" s="1325"/>
      <c r="AD78" s="1325"/>
      <c r="AE78" s="1325"/>
      <c r="AF78" s="1325"/>
      <c r="AG78" s="1325"/>
      <c r="AH78" s="1325"/>
      <c r="AI78" s="1325"/>
      <c r="AJ78" s="1325"/>
      <c r="AK78" s="1325"/>
      <c r="AL78" s="1325"/>
      <c r="AM78" s="1325"/>
      <c r="AN78" s="1325"/>
      <c r="AO78" s="1325"/>
      <c r="AP78" s="1325"/>
      <c r="AQ78" s="1325"/>
      <c r="AR78" s="1325"/>
      <c r="AS78" s="1325"/>
      <c r="AT78" s="1325"/>
      <c r="AU78" s="1325"/>
      <c r="AV78" s="1643"/>
      <c r="AW78" s="1625"/>
      <c r="AX78" s="1625" t="str">
        <f>IF(T78="","",T78)</f>
        <v>Добавить территорию для дифференциации</v>
      </c>
      <c r="AY78" s="1625"/>
      <c r="AZ78" s="1625"/>
      <c r="BA78" s="1643">
        <v>0</v>
      </c>
    </row>
    <row s="1643" customFormat="1" customHeight="1" ht="1.05">
      <c r="A79" s="1315"/>
      <c r="B79" s="1315"/>
      <c r="C79" s="1315"/>
      <c r="D79" s="1315"/>
      <c r="E79" s="1344"/>
      <c r="F79" s="1315"/>
      <c r="G79" s="1315"/>
      <c r="H79" s="1315"/>
      <c r="I79" s="1315"/>
      <c r="J79" s="1315"/>
      <c r="K79" s="1315"/>
      <c r="L79" s="1340"/>
      <c r="M79" s="1322"/>
      <c r="N79" s="1322"/>
      <c r="P79" s="1317"/>
      <c r="Q79" s="1318"/>
      <c r="R79" s="1317"/>
      <c r="S79" s="1323"/>
      <c r="T79" s="1326" t="s">
        <v>184</v>
      </c>
      <c r="U79" s="1325"/>
      <c r="V79" s="1325"/>
      <c r="W79" s="1325"/>
      <c r="X79" s="1325"/>
      <c r="Y79" s="1325"/>
      <c r="Z79" s="1325"/>
      <c r="AA79" s="1325"/>
      <c r="AB79" s="1325"/>
      <c r="AC79" s="1325"/>
      <c r="AD79" s="1325"/>
      <c r="AE79" s="1325"/>
      <c r="AF79" s="1325"/>
      <c r="AG79" s="1325"/>
      <c r="AH79" s="1325"/>
      <c r="AI79" s="1325"/>
      <c r="AJ79" s="1325"/>
      <c r="AK79" s="1325"/>
      <c r="AL79" s="1325"/>
      <c r="AM79" s="1325"/>
      <c r="AN79" s="1325"/>
      <c r="AO79" s="1325"/>
      <c r="AP79" s="1325"/>
      <c r="AQ79" s="1325"/>
      <c r="AR79" s="1325"/>
      <c r="AS79" s="2906"/>
      <c r="AT79" s="1325"/>
      <c r="AU79" s="1325"/>
      <c r="AW79" s="790"/>
      <c r="AX79" s="790" t="str">
        <f>IF(T79="","",T79)</f>
        <v>Добавить наименование тарифа</v>
      </c>
      <c r="AY79" s="790"/>
      <c r="AZ79" s="790"/>
      <c r="BA79" s="519">
        <v>1</v>
      </c>
    </row>
    <row customHeight="1" ht="11.549999999999999">
      <c r="M80" s="1161"/>
      <c r="N80" s="1161"/>
      <c r="O80" s="538"/>
      <c r="P80" s="1156"/>
      <c r="Q80" s="1156"/>
      <c r="R80" s="1156"/>
      <c r="S80" s="1156"/>
      <c r="AL80" s="1636"/>
      <c r="AM80" s="1636"/>
      <c r="AN80" s="1636"/>
      <c r="AO80" s="1636"/>
      <c r="AP80" s="1636"/>
      <c r="AQ80" s="1636"/>
      <c r="AR80" s="1636"/>
      <c r="AS80" s="2898"/>
      <c r="AV80" s="1156"/>
      <c r="AW80" s="1156"/>
      <c r="AX80" s="1156"/>
      <c r="AY80" s="1156"/>
      <c r="AZ80" s="1156"/>
      <c r="BA80" s="1156">
        <v>11</v>
      </c>
    </row>
    <row customHeight="1" ht="28.5">
      <c r="O81" s="538"/>
      <c r="S81" s="1254"/>
      <c r="T81" s="2286"/>
      <c r="U81" s="2286"/>
      <c r="V81" s="2286"/>
      <c r="W81" s="2286"/>
      <c r="X81" s="2286"/>
      <c r="Y81" s="2286"/>
      <c r="Z81" s="2286"/>
      <c r="AA81" s="2286"/>
      <c r="AB81" s="2286"/>
      <c r="AC81" s="2286"/>
      <c r="AD81" s="2286"/>
      <c r="AE81" s="2286"/>
      <c r="AF81" s="2286"/>
      <c r="AG81" s="2286"/>
      <c r="AH81" s="2286"/>
      <c r="AI81" s="2286"/>
      <c r="AJ81" s="2286"/>
      <c r="AK81" s="2286"/>
      <c r="AL81" s="2386"/>
      <c r="AM81" s="2386"/>
      <c r="AN81" s="2386"/>
      <c r="AO81" s="2386"/>
      <c r="AP81" s="2386"/>
      <c r="AQ81" s="2386"/>
      <c r="AR81" s="2386"/>
      <c r="AS81" s="2927"/>
      <c r="AT81" s="2286"/>
      <c r="AU81" s="2286"/>
      <c r="BA81" s="1156">
        <v>27</v>
      </c>
    </row>
    <row customHeight="1" ht="65.25">
      <c r="O82" s="538"/>
      <c r="T82" s="2286"/>
      <c r="U82" s="2286"/>
      <c r="V82" s="2286"/>
      <c r="W82" s="2286"/>
      <c r="X82" s="2286"/>
      <c r="Y82" s="2286"/>
      <c r="Z82" s="2286"/>
      <c r="AA82" s="2286"/>
      <c r="AB82" s="2286"/>
      <c r="AC82" s="2286"/>
      <c r="AD82" s="2286"/>
      <c r="AE82" s="2286"/>
      <c r="AF82" s="2286"/>
      <c r="AG82" s="2286"/>
      <c r="AH82" s="2286"/>
      <c r="AI82" s="2286"/>
      <c r="AJ82" s="2286"/>
      <c r="AK82" s="2286"/>
      <c r="AL82" s="2386"/>
      <c r="AM82" s="2386"/>
      <c r="AN82" s="2386"/>
      <c r="AO82" s="2386"/>
      <c r="AP82" s="2386"/>
      <c r="AQ82" s="2386"/>
      <c r="AR82" s="2386"/>
      <c r="AS82" s="2927"/>
      <c r="AT82" s="2286"/>
      <c r="AU82" s="2286"/>
      <c r="BA82" s="1156">
        <v>62</v>
      </c>
    </row>
    <row customHeight="1" ht="14.699999999999998">
      <c r="O83" s="538"/>
      <c r="AL83" s="1636"/>
      <c r="AM83" s="1636"/>
      <c r="AN83" s="1636"/>
      <c r="AO83" s="1636"/>
      <c r="AP83" s="1636"/>
      <c r="AQ83" s="1636"/>
      <c r="AR83" s="1636"/>
      <c r="AS83" s="2898"/>
      <c r="BA83" s="1156">
        <v>14</v>
      </c>
    </row>
    <row customHeight="1" ht="18.75">
      <c r="O84" s="538"/>
      <c r="S84" s="1254"/>
      <c r="T84" s="2286"/>
      <c r="U84" s="2286"/>
      <c r="V84" s="2286"/>
      <c r="W84" s="2286"/>
      <c r="X84" s="2286"/>
      <c r="Y84" s="2286"/>
      <c r="Z84" s="2286"/>
      <c r="AA84" s="2286"/>
      <c r="AB84" s="2286"/>
      <c r="AC84" s="2286"/>
      <c r="AD84" s="2286"/>
      <c r="AE84" s="2286"/>
      <c r="AF84" s="2286"/>
      <c r="AG84" s="2286"/>
      <c r="AH84" s="2286"/>
      <c r="AI84" s="2286"/>
      <c r="AJ84" s="2286"/>
      <c r="AK84" s="2286"/>
      <c r="AL84" s="2386"/>
      <c r="AM84" s="2386"/>
      <c r="AN84" s="2386"/>
      <c r="AO84" s="2386"/>
      <c r="AP84" s="2386"/>
      <c r="AQ84" s="2386"/>
      <c r="AR84" s="2386"/>
      <c r="AS84" s="2927"/>
      <c r="AT84" s="2286"/>
      <c r="AU84" s="2286"/>
      <c r="BA84" s="1156">
        <v>18</v>
      </c>
    </row>
    <row customHeight="1" ht="18.75">
      <c r="O85" s="538"/>
      <c r="T85" s="2286"/>
      <c r="U85" s="2286"/>
      <c r="V85" s="2286"/>
      <c r="W85" s="2286"/>
      <c r="X85" s="2286"/>
      <c r="Y85" s="2286"/>
      <c r="Z85" s="2286"/>
      <c r="AA85" s="2286"/>
      <c r="AB85" s="2286"/>
      <c r="AC85" s="2286"/>
      <c r="AD85" s="2286"/>
      <c r="AE85" s="2286"/>
      <c r="AF85" s="2286"/>
      <c r="AG85" s="2286"/>
      <c r="AH85" s="2286"/>
      <c r="AI85" s="2286"/>
      <c r="AJ85" s="2286"/>
      <c r="AK85" s="2286"/>
      <c r="AL85" s="2386"/>
      <c r="AM85" s="2386"/>
      <c r="AN85" s="2386"/>
      <c r="AO85" s="2386"/>
      <c r="AP85" s="2386"/>
      <c r="AQ85" s="2386"/>
      <c r="AR85" s="2386"/>
      <c r="AS85" s="2927"/>
      <c r="AT85" s="2286"/>
      <c r="AU85" s="2286"/>
      <c r="BA85" s="1156">
        <v>18</v>
      </c>
    </row>
    <row customHeight="1" ht="29.25">
      <c r="O86" s="538"/>
      <c r="S86" s="1254"/>
      <c r="T86" s="2286"/>
      <c r="U86" s="2286"/>
      <c r="V86" s="2286"/>
      <c r="W86" s="2286"/>
      <c r="X86" s="2286"/>
      <c r="Y86" s="2286"/>
      <c r="Z86" s="2286"/>
      <c r="AA86" s="2286"/>
      <c r="AB86" s="2286"/>
      <c r="AC86" s="2286"/>
      <c r="AD86" s="2286"/>
      <c r="AE86" s="2286"/>
      <c r="AF86" s="2286"/>
      <c r="AG86" s="2286"/>
      <c r="AH86" s="2286"/>
      <c r="AI86" s="2286"/>
      <c r="AJ86" s="2286"/>
      <c r="AK86" s="2286"/>
      <c r="AL86" s="2386"/>
      <c r="AM86" s="2386"/>
      <c r="AN86" s="2386"/>
      <c r="AO86" s="2386"/>
      <c r="AP86" s="2386"/>
      <c r="AQ86" s="2386"/>
      <c r="AR86" s="2386"/>
      <c r="AS86" s="2927"/>
      <c r="AT86" s="2286"/>
      <c r="AU86" s="2286"/>
      <c r="BA86" s="1156">
        <v>28</v>
      </c>
    </row>
    <row customHeight="1" ht="22.5" hidden="1">
      <c r="A87" s="1161" t="s">
        <v>83</v>
      </c>
      <c r="B87" s="1161">
        <v>0</v>
      </c>
      <c r="C87" s="1161">
        <v>0</v>
      </c>
      <c r="D87" s="1161">
        <v>0</v>
      </c>
      <c r="E87" s="1161">
        <v>0</v>
      </c>
      <c r="F87" s="1161">
        <v>0</v>
      </c>
      <c r="G87" s="1161">
        <v>0</v>
      </c>
      <c r="H87" s="1161">
        <v>0</v>
      </c>
      <c r="I87" s="1161">
        <v>0</v>
      </c>
      <c r="J87" s="1161">
        <v>0</v>
      </c>
      <c r="K87" s="1161">
        <v>0</v>
      </c>
      <c r="L87" s="1330">
        <v>0</v>
      </c>
      <c r="M87" s="1363">
        <v>0</v>
      </c>
      <c r="N87" s="1363">
        <v>0</v>
      </c>
      <c r="O87" s="1363">
        <v>0</v>
      </c>
      <c r="P87" s="1329">
        <v>3</v>
      </c>
      <c r="Q87" s="345">
        <v>3</v>
      </c>
      <c r="R87" s="345">
        <v>3</v>
      </c>
      <c r="S87" s="582">
        <v>12</v>
      </c>
      <c r="T87" s="1156">
        <v>31</v>
      </c>
      <c r="U87" s="1156">
        <v>0</v>
      </c>
      <c r="V87" s="1156">
        <v>0</v>
      </c>
      <c r="W87" s="1156">
        <v>0</v>
      </c>
      <c r="X87" s="1156">
        <v>0</v>
      </c>
      <c r="Y87" s="1156">
        <v>0</v>
      </c>
      <c r="Z87" s="1156">
        <v>0</v>
      </c>
      <c r="AA87" s="1156">
        <v>0</v>
      </c>
      <c r="AB87" s="1156">
        <v>0</v>
      </c>
      <c r="AC87" s="1156">
        <v>0</v>
      </c>
      <c r="AD87" s="1156">
        <v>24</v>
      </c>
      <c r="AE87" s="1156">
        <v>0</v>
      </c>
      <c r="AF87" s="1156">
        <v>24</v>
      </c>
      <c r="AG87" s="1156">
        <v>24</v>
      </c>
      <c r="AH87" s="1156">
        <v>11</v>
      </c>
      <c r="AI87" s="1156">
        <v>3</v>
      </c>
      <c r="AJ87" s="1156">
        <v>11</v>
      </c>
      <c r="AK87" s="1156">
        <v>0</v>
      </c>
      <c r="AL87" s="1636">
        <v>0</v>
      </c>
      <c r="AM87" s="1636">
        <v>0</v>
      </c>
      <c r="AN87" s="1636">
        <v>0</v>
      </c>
      <c r="AO87" s="1636">
        <v>0</v>
      </c>
      <c r="AP87" s="1636">
        <v>0</v>
      </c>
      <c r="AQ87" s="1636">
        <v>0</v>
      </c>
      <c r="AR87" s="1636">
        <v>0</v>
      </c>
      <c r="AS87" s="2898">
        <v>0</v>
      </c>
      <c r="AT87" s="1156">
        <v>4</v>
      </c>
      <c r="AU87" s="1156">
        <v>115</v>
      </c>
      <c r="AV87" s="512">
        <v>10</v>
      </c>
      <c r="AW87" s="512">
        <v>10</v>
      </c>
      <c r="AX87" s="512">
        <v>10</v>
      </c>
      <c r="AY87" s="512">
        <v>10</v>
      </c>
      <c r="AZ87" s="512">
        <v>10</v>
      </c>
      <c r="BA87" s="1156">
        <v>23</v>
      </c>
    </row>
  </sheetData>
  <sheetProtection formatColumns="0" formatRows="0" autoFilter="0" sort="0" insertRows="0" insertColumns="1" deleteRows="0" deleteColumns="0"/>
  <mergeCells count="205">
    <mergeCell ref="T85:AU85"/>
    <mergeCell ref="T86:AU86"/>
    <mergeCell ref="T84:AU84"/>
    <mergeCell ref="AU49:AU51"/>
    <mergeCell ref="T81:AU81"/>
    <mergeCell ref="T82:AU82"/>
    <mergeCell ref="J48:J51"/>
    <mergeCell ref="Q48:Q51"/>
    <mergeCell ref="V48:AC48"/>
    <mergeCell ref="AD48:AT48"/>
    <mergeCell ref="K49:K50"/>
    <mergeCell ref="Z49:Z50"/>
    <mergeCell ref="AA49:AA50"/>
    <mergeCell ref="AB49:AB50"/>
    <mergeCell ref="AC49:AC50"/>
    <mergeCell ref="AH49:AH50"/>
    <mergeCell ref="AI49:AI50"/>
    <mergeCell ref="AJ49:AJ50"/>
    <mergeCell ref="AK49:AK50"/>
    <mergeCell ref="E43:E56"/>
    <mergeCell ref="V43:AC43"/>
    <mergeCell ref="AD43:AT43"/>
    <mergeCell ref="F44:F55"/>
    <mergeCell ref="V44:AC44"/>
    <mergeCell ref="AD44:AT44"/>
    <mergeCell ref="G45:G54"/>
    <mergeCell ref="V45:AC45"/>
    <mergeCell ref="AD45:AT45"/>
    <mergeCell ref="H46:H53"/>
    <mergeCell ref="V46:AC46"/>
    <mergeCell ref="AD46:AT46"/>
    <mergeCell ref="I47:I52"/>
    <mergeCell ref="P47:P52"/>
    <mergeCell ref="V47:AC47"/>
    <mergeCell ref="AD47:AT47"/>
    <mergeCell ref="AH40:AJ40"/>
    <mergeCell ref="AA41:AB41"/>
    <mergeCell ref="AI41:AJ41"/>
    <mergeCell ref="AA42:AB42"/>
    <mergeCell ref="AI42:AJ42"/>
    <mergeCell ref="S38:AT38"/>
    <mergeCell ref="AU38:AU41"/>
    <mergeCell ref="S39:S41"/>
    <mergeCell ref="T39:T41"/>
    <mergeCell ref="V39:AB39"/>
    <mergeCell ref="AC39:AC41"/>
    <mergeCell ref="AD39:AJ39"/>
    <mergeCell ref="AK39:AK41"/>
    <mergeCell ref="AT39:AT41"/>
    <mergeCell ref="V40:V41"/>
    <mergeCell ref="W40:W41"/>
    <mergeCell ref="X40:Y40"/>
    <mergeCell ref="Z40:AB40"/>
    <mergeCell ref="AD40:AD41"/>
    <mergeCell ref="AE40:AE41"/>
    <mergeCell ref="AF40:AG40"/>
    <mergeCell ref="S32:T32"/>
    <mergeCell ref="V32:AB32"/>
    <mergeCell ref="AD32:AJ32"/>
    <mergeCell ref="V37:AC37"/>
    <mergeCell ref="AD37:AK37"/>
    <mergeCell ref="S34:T34"/>
    <mergeCell ref="V34:AB34"/>
    <mergeCell ref="AD34:AJ34"/>
    <mergeCell ref="S35:T35"/>
    <mergeCell ref="V35:AB35"/>
    <mergeCell ref="AD35:AJ35"/>
    <mergeCell ref="AU8:AU10"/>
    <mergeCell ref="AH17:AH18"/>
    <mergeCell ref="AI17:AI18"/>
    <mergeCell ref="AJ17:AJ18"/>
    <mergeCell ref="AK17:AK18"/>
    <mergeCell ref="AH8:AH9"/>
    <mergeCell ref="AI8:AI9"/>
    <mergeCell ref="AJ8:AJ9"/>
    <mergeCell ref="AK8:AK9"/>
    <mergeCell ref="V7:AC7"/>
    <mergeCell ref="AD7:AT7"/>
    <mergeCell ref="V2:AC2"/>
    <mergeCell ref="AD2:AT2"/>
    <mergeCell ref="V3:AC3"/>
    <mergeCell ref="AD3:AT3"/>
    <mergeCell ref="V4:AC4"/>
    <mergeCell ref="AD4:AT4"/>
    <mergeCell ref="V5:AC5"/>
    <mergeCell ref="AD5:AT5"/>
    <mergeCell ref="V6:AC6"/>
    <mergeCell ref="AD6:AT6"/>
    <mergeCell ref="S26:AJ26"/>
    <mergeCell ref="S27:AJ27"/>
    <mergeCell ref="S29:T29"/>
    <mergeCell ref="AD29:AJ29"/>
    <mergeCell ref="S30:T30"/>
    <mergeCell ref="V30:AB30"/>
    <mergeCell ref="AD30:AJ30"/>
    <mergeCell ref="S31:T31"/>
    <mergeCell ref="E2:E15"/>
    <mergeCell ref="F3:F14"/>
    <mergeCell ref="G4:G13"/>
    <mergeCell ref="H5:H12"/>
    <mergeCell ref="I6:I11"/>
    <mergeCell ref="P6:P11"/>
    <mergeCell ref="J7:J10"/>
    <mergeCell ref="Q7:Q10"/>
    <mergeCell ref="K8:K9"/>
    <mergeCell ref="Z8:Z9"/>
    <mergeCell ref="AA8:AA9"/>
    <mergeCell ref="AB8:AB9"/>
    <mergeCell ref="AC8:AC9"/>
    <mergeCell ref="V29:AB29"/>
    <mergeCell ref="V31:AB31"/>
    <mergeCell ref="AD31:AJ31"/>
    <mergeCell ref="AU63:AU65"/>
    <mergeCell ref="AH63:AH64"/>
    <mergeCell ref="AI63:AI64"/>
    <mergeCell ref="AJ63:AJ64"/>
    <mergeCell ref="AK63:AK64"/>
    <mergeCell ref="V62:AC62"/>
    <mergeCell ref="AD62:AT62"/>
    <mergeCell ref="V57:AC57"/>
    <mergeCell ref="AD57:AT57"/>
    <mergeCell ref="V58:AC58"/>
    <mergeCell ref="AD58:AT58"/>
    <mergeCell ref="V59:AC59"/>
    <mergeCell ref="AD59:AT59"/>
    <mergeCell ref="V60:AC60"/>
    <mergeCell ref="AD60:AT60"/>
    <mergeCell ref="V61:AC61"/>
    <mergeCell ref="AD61:AT61"/>
    <mergeCell ref="E57:E78"/>
    <mergeCell ref="F58:F77"/>
    <mergeCell ref="G59:G76"/>
    <mergeCell ref="H60:H75"/>
    <mergeCell ref="I61:I74"/>
    <mergeCell ref="P61:P74"/>
    <mergeCell ref="J62:J65"/>
    <mergeCell ref="Q62:Q65"/>
    <mergeCell ref="K63:K64"/>
    <mergeCell ref="Z63:Z64"/>
    <mergeCell ref="AA63:AA64"/>
    <mergeCell ref="AB63:AB64"/>
    <mergeCell ref="AC63:AC64"/>
    <mergeCell ref="AP8:AP9"/>
    <mergeCell ref="AQ8:AQ9"/>
    <mergeCell ref="AR8:AR9"/>
    <mergeCell ref="AS8:AS9"/>
    <mergeCell ref="AL29:AR29"/>
    <mergeCell ref="AL30:AR30"/>
    <mergeCell ref="AL31:AR31"/>
    <mergeCell ref="AL32:AR32"/>
    <mergeCell ref="AL34:AR34"/>
    <mergeCell ref="AL35:AR35"/>
    <mergeCell ref="AL37:AS37"/>
    <mergeCell ref="AL39:AR39"/>
    <mergeCell ref="AS39:AS41"/>
    <mergeCell ref="AL40:AL41"/>
    <mergeCell ref="AM40:AM41"/>
    <mergeCell ref="AN40:AO40"/>
    <mergeCell ref="AP40:AR40"/>
    <mergeCell ref="AQ41:AR41"/>
    <mergeCell ref="AQ42:AR42"/>
    <mergeCell ref="AP49:AP50"/>
    <mergeCell ref="AQ49:AQ50"/>
    <mergeCell ref="AR49:AR50"/>
    <mergeCell ref="AS49:AS50"/>
    <mergeCell ref="AP63:AP64"/>
    <mergeCell ref="AQ63:AQ64"/>
    <mergeCell ref="AR63:AR64"/>
    <mergeCell ref="AS63:AS64"/>
    <mergeCell ref="AU67:AU69"/>
    <mergeCell ref="AH67:AH68"/>
    <mergeCell ref="AI67:AI68"/>
    <mergeCell ref="AJ67:AJ68"/>
    <mergeCell ref="AK67:AK68"/>
    <mergeCell ref="V66:AC66"/>
    <mergeCell ref="AD66:AT66"/>
    <mergeCell ref="J66:J69"/>
    <mergeCell ref="Q66:Q69"/>
    <mergeCell ref="K67:K68"/>
    <mergeCell ref="Z67:Z68"/>
    <mergeCell ref="AA67:AA68"/>
    <mergeCell ref="AB67:AB68"/>
    <mergeCell ref="AC67:AC68"/>
    <mergeCell ref="AP67:AP68"/>
    <mergeCell ref="AQ67:AQ68"/>
    <mergeCell ref="AR67:AR68"/>
    <mergeCell ref="AS67:AS68"/>
    <mergeCell ref="AU71:AU73"/>
    <mergeCell ref="AH71:AH72"/>
    <mergeCell ref="AI71:AI72"/>
    <mergeCell ref="AJ71:AJ72"/>
    <mergeCell ref="AK71:AK72"/>
    <mergeCell ref="V70:AC70"/>
    <mergeCell ref="AD70:AT70"/>
    <mergeCell ref="J70:J73"/>
    <mergeCell ref="Q70:Q73"/>
    <mergeCell ref="K71:K72"/>
    <mergeCell ref="Z71:Z72"/>
    <mergeCell ref="AA71:AA72"/>
    <mergeCell ref="AB71:AB72"/>
    <mergeCell ref="AC71:AC72"/>
    <mergeCell ref="AP71:AP72"/>
    <mergeCell ref="AQ71:AQ72"/>
    <mergeCell ref="AR71:AR72"/>
    <mergeCell ref="AS71:AS72"/>
  </mergeCells>
  <dataValidations count="8">
    <dataValidation type="list" allowBlank="1" showInputMessage="1" errorTitle="Ошибка" error="Выберите значение из списка" prompt="Выберите значение из списка" sqref="V983110:AT983110 V65606:AT65606 V131142:AT131142 V196678:AT196678 V262214:AT262214 V327750:AT327750 V393286:AT393286 V458822:AT458822 V524358:AT524358 V589894:AT589894 V655430:AT655430 V720966:AT720966 V786502:AT786502 V852038:AT852038 V917574:AT917574">
      <formula1>kind_of_cons</formula1>
    </dataValidation>
    <dataValidation allowBlank="1" sqref="S131145:AU131151 S196681:AU196687 S262217:AU262223 S327753:AU327759 S393289:AU393295 S458825:AU458831 S524361:AU524367 S589897:AU589903 S655433:AU655439 S720969:AU720975 S786505:AU786511 S852041:AU852047 S917577:AU917583 S983113:AU983119 S65609:AU65615"/>
    <dataValidation type="list" allowBlank="1" showInputMessage="1" showErrorMessage="1" errorTitle="Ошибка" error="Выберите значение из списка" sqref="V983109:W983109 V65605:W65605 V131141:W131141 V196677:W196677 V262213:W262213 V327749:W327749 V393285:W393285 V458821:W458821 V524357:W524357 V589893:W589893 V655429:W655429 V720965:W720965 V786501:W786501 V852037:W852037 V917573:W917573 AD983109:AE983109 AD65605:AE65605 AD131141:AE131141 AD196677:AE196677 AD262213:AE262213 AD327749:AE327749 AD393285:AE393285 AD458821:AE458821 AD524357:AE524357 AD589893:AE589893 AD655429:AE655429 AD720965:AE720965 AD786501:AE786501 AD852037:AE852037 AD917573:AE917573">
      <formula1>kind_of_scheme_in</formula1>
    </dataValidation>
    <dataValidation type="textLength" operator="lessThanOrEqual" allowBlank="1" showInputMessage="1" showErrorMessage="1" errorTitle="Ошибка" error="Допускается ввод не более 900 символов!" sqref="AU65601:AU65608 AU131137:AU131144 AU196673:AU196680 AU262209:AU262216 AU327745:AU327752 AU393281:AU393288 AU458817:AU458824 AU524353:AU524360 AU589889:AU589896 AU655425:AU655432 AU720961:AU720968 AU786497:AU786504 AU852033:AU852040 AU917569:AU917576 AU983105:AU983112">
      <formula1>900</formula1>
    </dataValidation>
    <dataValidation type="list" allowBlank="1" showInputMessage="1" showErrorMessage="1" errorTitle="Ошибка" error="Выберите значение из списка" sqref="T65607 T131143 T196679 T262215 T327751 T393287 T458823 T524359 T589895 T655431 T720967 T786503 T852039 T917575 T983111">
      <formula1>kind_of_heat_transfer</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607 Z131143 Z196679 Z262215 Z327751 Z393287 Z458823 Z524359 Z589895 Z655431 Z720967 Z786503 Z852039 Z917575 Z983111 AB65607 AB131143 AB196679 AB262215 AB327751 AB393287 AB458823 AB524359 AB589895 AB655431 AB720967 AB786503 AB852039 AB917575 AB983111 Z8 AH65607 AH131143 AH196679 AH262215 AH327751 AH393287 AH458823 AH524359 AH589895 AH655431 AH720967 AH786503 AH852039 AH917575 AH983111 AJ65607 AJ131143 AJ196679 AJ262215 AJ327751 AJ393287 AJ458823 AJ524359 AJ589895 AJ655431 AJ720967 AJ786503 AJ852039 AJ917575 AJ983111 AJ49 AH49 AH8 AJ8 AB8 AH17 AJ17 Z49 AB49 Z63 AB63 AH63 AJ63 AP8 AR8 AP49 AR49 AP63 AR63 Z67 AB67 AH67 AJ67 AP67 AR67 Z71 AB71 AH71 AJ71 AP71 AR71"/>
    <dataValidation allowBlank="1" showInputMessage="1" showErrorMessage="1" prompt="Для выбора выполните двойной щелчок левой клавиши мыши по соответствующей ячейке." sqref="AA65607 AA131143 AA196679 AA262215 AA327751 AA393287 AA458823 AA524359 AA589895 AA655431 AA720967 AA786503 AA852039 AA917575 AA983111 AC131143 AC458823 AC196679 AC262215 AC327751 AC393287 AC524359 AC589895 AC655431 AC720967 AC786503 AC852039 AC917575 AC983111 AC65607 AI65607 AI131143 AI196679 AI262215 AI327751 AI393287 AI458823 AI524359 AI589895 AI655431 AI720967 AI786503 AI852039 AI917575 AI983111 AK327751:AS327751 AK393287:AS393287 AK49 AQ49 AS49 AK524359:AS524359 AK8 AQ8 AS8 AK589895:AS589895 AK655431:AS655431 AK17 AK720967:AS720967 AK786503:AS786503 AK852039:AS852039 AK917575:AS917575 AK983111:AS983111 AK65607:AS65607 AK131143:AS131143 AI49 AK458823:AS458823 AI8 AC8 AA8 AI17 AK196679:AS196679 AA49 AC49 AK262215:AS262215 AA63 AC63 AI63 AK63 AQ63 AS63 AA67 AC67 AI67 AK67 AQ67 AS67 AA71 AC71 AI71 AK71 AQ71 AS71"/>
    <dataValidation allowBlank="1" promptTitle="checkPeriodRange" sqref="Y65608 Y131144 Y196680 Y262216 Y327752 Y393288 Y458824 Y524360 Y589896 Y655432 Y720968 Y786504 Y852040 Y917576 Y983112 Y9 AG65608 AG131144 AG196680 AG262216 AG327752 AG393288 AG458824 AG524360 AG589896 AG655432 AG720968 AG786504 AG852040 AG917576 AG983112 AG9 AG50 AG18 Y50 Y64 AG64 AO9 AO50 AO64 Y68 AG68 AO68 Y72 AG72 AO72"/>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21EB7AB8-E971-D1C8-40CA-E62841D70D08}" mc:Ignorable="x14ac xr xr2 xr3">
  <sheetPr>
    <tabColor theme="6" tint="0.4"/>
  </sheetPr>
  <dimension ref="A1:AS65"/>
  <sheetViews>
    <sheetView showGridLines="0" zoomScale="90" workbookViewId="0">
      <pane xSplit="29" ySplit="42" topLeftCell="AD43" activePane="bottomRight" state="frozen"/>
      <selection pane="bottomLeft" activeCell="A43" sqref="A43"/>
      <selection pane="topRight" activeCell="AD1" sqref="AD1"/>
      <selection pane="bottomRight" activeCell="A1" sqref="A1"/>
    </sheetView>
  </sheetViews>
  <sheetFormatPr defaultColWidth="10.57421875" customHeight="1" defaultRowHeight="14.25"/>
  <cols>
    <col min="1" max="1" style="1636" width="10.57421875" hidden="1"/>
    <col min="2" max="2" style="1636" width="11.00390625" hidden="1" customWidth="1"/>
    <col min="3" max="3" style="1636" width="10.57421875" hidden="1"/>
    <col min="4" max="4" style="1636" width="11.8515625" hidden="1" customWidth="1"/>
    <col min="5" max="5" style="1636" width="10.00390625" hidden="1" customWidth="1"/>
    <col min="6" max="6" style="1636" width="8.7109375" hidden="1" customWidth="1"/>
    <col min="7" max="7" style="1636" width="7.57421875" hidden="1" customWidth="1"/>
    <col min="8" max="8" style="1636" width="11.421875" hidden="1" customWidth="1"/>
    <col min="9" max="9" style="1636" width="12.00390625" hidden="1" customWidth="1"/>
    <col min="10" max="10" style="1636" width="9.8515625" hidden="1" customWidth="1"/>
    <col min="11" max="11" style="1636" width="11.421875" hidden="1" customWidth="1"/>
    <col min="12" max="12" style="2126" width="19.140625" hidden="1" customWidth="1"/>
    <col min="13" max="14" style="2398" width="12.28125" hidden="1" customWidth="1"/>
    <col min="15" max="15" style="2398" width="23.421875" hidden="1" customWidth="1"/>
    <col min="16" max="16" style="2398" width="3.00390625" customWidth="1"/>
    <col min="17" max="18" style="345" width="3.00390625" customWidth="1"/>
    <col min="19" max="19" style="2408" width="12.00390625" customWidth="1"/>
    <col min="20" max="20" style="1636" width="31.00390625" customWidth="1"/>
    <col min="21" max="21" style="1636" width="0.140625" customWidth="1"/>
    <col min="22" max="22" style="1636" width="24.7109375" hidden="1" customWidth="1"/>
    <col min="23" max="23" style="1636" width="0.140625" hidden="1" customWidth="1"/>
    <col min="24" max="25" style="1636" width="24.7109375" hidden="1" customWidth="1"/>
    <col min="26" max="26" style="1636" width="11.7109375" hidden="1" customWidth="1"/>
    <col min="27" max="27" style="1636" width="3.7109375" hidden="1" customWidth="1"/>
    <col min="28" max="28" style="1636" width="11.7109375" hidden="1" customWidth="1"/>
    <col min="29" max="29" style="1636" width="8.57421875" hidden="1" customWidth="1"/>
    <col min="30" max="30" style="1636" width="24.7109375" customWidth="1"/>
    <col min="31" max="31" style="1636" width="0.140625" customWidth="1"/>
    <col min="32" max="33" style="1636" width="24.00390625" customWidth="1"/>
    <col min="34" max="34" style="1636" width="11.00390625" customWidth="1"/>
    <col min="35" max="35" style="1636" width="3.7109375" customWidth="1"/>
    <col min="36" max="36" style="1636" width="11.00390625" customWidth="1"/>
    <col min="37" max="37" style="1636" width="8.57421875" hidden="1" customWidth="1"/>
    <col min="38" max="38" style="1636" width="4.00390625" customWidth="1"/>
    <col min="39" max="39" style="1636" width="115.00390625" customWidth="1"/>
    <col min="40" max="44" style="1643" width="10.00390625" customWidth="1"/>
    <col min="45" max="45" style="1636" width="10.57421875" hidden="1"/>
  </cols>
  <sheetData>
    <row customHeight="1" ht="22.5" hidden="1">
      <c r="AS1" s="1632" t="s">
        <v>14</v>
      </c>
    </row>
    <row customHeight="1" ht="21" hidden="1">
      <c r="A2" s="1268"/>
      <c r="B2" s="1268"/>
      <c r="C2" s="1268"/>
      <c r="D2" s="1268"/>
      <c r="E2" s="2290">
        <v>1</v>
      </c>
      <c r="F2" s="1268"/>
      <c r="G2" s="1268"/>
      <c r="H2" s="1268"/>
      <c r="I2" s="1268"/>
      <c r="J2" s="1268"/>
      <c r="K2" s="1268"/>
      <c r="L2" s="1311"/>
      <c r="M2" s="1611"/>
      <c r="N2" s="1611"/>
      <c r="O2" s="1611"/>
      <c r="P2" s="1591"/>
      <c r="Q2" s="361"/>
      <c r="R2" s="356"/>
      <c r="S2" s="1959">
        <f>INDEX(PT_DIFFERENTIATION_NUM_NTAR,MATCH(A2,PT_DIFFERENTIATION_NTAR_ID,0))</f>
      </c>
      <c r="T2" s="1526" t="s">
        <v>131</v>
      </c>
      <c r="U2" s="301"/>
      <c r="V2" s="2243"/>
      <c r="W2" s="2244"/>
      <c r="X2" s="2244"/>
      <c r="Y2" s="2244"/>
      <c r="Z2" s="2244"/>
      <c r="AA2" s="2244"/>
      <c r="AB2" s="2244"/>
      <c r="AC2" s="2245"/>
      <c r="AD2" s="2243">
        <f>INDEX(PT_DIFFERENTIATION_NTAR,MATCH(A2,PT_DIFFERENTIATION_NTAR_ID,0))</f>
      </c>
      <c r="AE2" s="2244"/>
      <c r="AF2" s="2244"/>
      <c r="AG2" s="2244"/>
      <c r="AH2" s="2244"/>
      <c r="AI2" s="2244"/>
      <c r="AJ2" s="2244"/>
      <c r="AK2" s="2244"/>
      <c r="AL2" s="2245"/>
      <c r="AM2" s="1259" t="s">
        <v>413</v>
      </c>
      <c r="AO2" s="1625"/>
      <c r="AP2" s="1625" t="str">
        <f>IF(T2="","",T2)</f>
        <v>Наименование тарифа</v>
      </c>
      <c r="AQ2" s="1625"/>
      <c r="AR2" s="1625"/>
      <c r="AS2" s="1632">
        <v>0</v>
      </c>
    </row>
    <row customHeight="1" ht="21" hidden="1">
      <c r="A3" s="1268"/>
      <c r="B3" s="1268"/>
      <c r="C3" s="1268"/>
      <c r="D3" s="1268"/>
      <c r="E3" s="2291"/>
      <c r="F3" s="2290">
        <v>1</v>
      </c>
      <c r="G3" s="1268"/>
      <c r="H3" s="1268"/>
      <c r="I3" s="1268"/>
      <c r="J3" s="1268"/>
      <c r="K3" s="1268"/>
      <c r="L3" s="1311"/>
      <c r="M3" s="1611"/>
      <c r="N3" s="1611"/>
      <c r="O3" s="1611"/>
      <c r="P3" s="1941"/>
      <c r="Q3" s="353"/>
      <c r="R3" s="354"/>
      <c r="S3" s="1959">
        <f>INDEX(PT_DIFFERENTIATION_NUM_TER,MATCH(B3,PT_DIFFERENTIATION_TER_ID,0))</f>
      </c>
      <c r="T3" s="1523" t="s">
        <v>414</v>
      </c>
      <c r="U3" s="301"/>
      <c r="V3" s="2243"/>
      <c r="W3" s="2244"/>
      <c r="X3" s="2244"/>
      <c r="Y3" s="2244"/>
      <c r="Z3" s="2244"/>
      <c r="AA3" s="2244"/>
      <c r="AB3" s="2244"/>
      <c r="AC3" s="2245"/>
      <c r="AD3" s="2243">
        <f>INDEX(PT_DIFFERENTIATION_TER,MATCH(B3,PT_DIFFERENTIATION_TER_ID,0))</f>
      </c>
      <c r="AE3" s="2244"/>
      <c r="AF3" s="2244"/>
      <c r="AG3" s="2244"/>
      <c r="AH3" s="2244"/>
      <c r="AI3" s="2244"/>
      <c r="AJ3" s="2244"/>
      <c r="AK3" s="2244"/>
      <c r="AL3" s="2245"/>
      <c r="AM3" s="1259" t="s">
        <v>415</v>
      </c>
      <c r="AO3" s="1625"/>
      <c r="AP3" s="1625" t="str">
        <f>IF(T3="","",T3)</f>
        <v>Территория действия тарифа</v>
      </c>
      <c r="AQ3" s="1625"/>
      <c r="AR3" s="1625"/>
      <c r="AS3" s="1632">
        <v>0</v>
      </c>
    </row>
    <row customHeight="1" ht="23.25" hidden="1">
      <c r="A4" s="1268"/>
      <c r="B4" s="1268"/>
      <c r="C4" s="1268"/>
      <c r="D4" s="1268"/>
      <c r="E4" s="2291"/>
      <c r="F4" s="2291"/>
      <c r="G4" s="2290">
        <v>1</v>
      </c>
      <c r="H4" s="1268"/>
      <c r="I4" s="1268"/>
      <c r="J4" s="1268"/>
      <c r="K4" s="1268"/>
      <c r="L4" s="1311"/>
      <c r="M4" s="1611"/>
      <c r="N4" s="1611"/>
      <c r="O4" s="1611"/>
      <c r="P4" s="355"/>
      <c r="Q4" s="353"/>
      <c r="R4" s="354"/>
      <c r="S4" s="1959">
        <f>INDEX(PT_DIFFERENTIATION_NUM_CS,MATCH(C4,PT_DIFFERENTIATION_CS_ID,0))</f>
      </c>
      <c r="T4" s="310" t="s">
        <v>416</v>
      </c>
      <c r="U4" s="301"/>
      <c r="V4" s="2243"/>
      <c r="W4" s="2244"/>
      <c r="X4" s="2244"/>
      <c r="Y4" s="2244"/>
      <c r="Z4" s="2244"/>
      <c r="AA4" s="2244"/>
      <c r="AB4" s="2244"/>
      <c r="AC4" s="2245"/>
      <c r="AD4" s="2243">
        <f>INDEX(PT_DIFFERENTIATION_CS,MATCH(C4,PT_DIFFERENTIATION_CS_ID,0))</f>
      </c>
      <c r="AE4" s="2244"/>
      <c r="AF4" s="2244"/>
      <c r="AG4" s="2244"/>
      <c r="AH4" s="2244"/>
      <c r="AI4" s="2244"/>
      <c r="AJ4" s="2244"/>
      <c r="AK4" s="2244"/>
      <c r="AL4" s="2245"/>
      <c r="AM4" s="1259" t="s">
        <v>417</v>
      </c>
      <c r="AO4" s="1625"/>
      <c r="AP4" s="1625" t="str">
        <f>IF(T4="","",T4)</f>
        <v>Наименование системы теплоснабжения </v>
      </c>
      <c r="AQ4" s="1625"/>
      <c r="AR4" s="1625"/>
      <c r="AS4" s="1632">
        <v>0</v>
      </c>
    </row>
    <row customHeight="1" ht="21" hidden="1">
      <c r="A5" s="1268"/>
      <c r="B5" s="1268"/>
      <c r="C5" s="1268"/>
      <c r="D5" s="1268"/>
      <c r="E5" s="2291"/>
      <c r="F5" s="2291"/>
      <c r="G5" s="2291"/>
      <c r="H5" s="2290">
        <v>1</v>
      </c>
      <c r="I5" s="1268"/>
      <c r="J5" s="1268"/>
      <c r="K5" s="1268"/>
      <c r="L5" s="1311"/>
      <c r="M5" s="1611"/>
      <c r="N5" s="1611"/>
      <c r="O5" s="1611"/>
      <c r="P5" s="355"/>
      <c r="Q5" s="353"/>
      <c r="R5" s="354"/>
      <c r="S5" s="1959">
        <f>INDEX(PT_DIFFERENTIATION_NUM_IST_TE,MATCH(D5,PT_DIFFERENTIATION_IST_TE_ID,0))</f>
      </c>
      <c r="T5" s="311" t="s">
        <v>418</v>
      </c>
      <c r="U5" s="301"/>
      <c r="V5" s="2243"/>
      <c r="W5" s="2244"/>
      <c r="X5" s="2244"/>
      <c r="Y5" s="2244"/>
      <c r="Z5" s="2244"/>
      <c r="AA5" s="2244"/>
      <c r="AB5" s="2244"/>
      <c r="AC5" s="2245"/>
      <c r="AD5" s="2243">
        <f>INDEX(PT_DIFFERENTIATION_IST_TE,MATCH(D5,PT_DIFFERENTIATION_IST_TE_ID,0))</f>
      </c>
      <c r="AE5" s="2244"/>
      <c r="AF5" s="2244"/>
      <c r="AG5" s="2244"/>
      <c r="AH5" s="2244"/>
      <c r="AI5" s="2244"/>
      <c r="AJ5" s="2244"/>
      <c r="AK5" s="2244"/>
      <c r="AL5" s="2245"/>
      <c r="AM5" s="1259" t="s">
        <v>419</v>
      </c>
      <c r="AO5" s="1625"/>
      <c r="AP5" s="1625" t="str">
        <f>IF(T5="","",T5)</f>
        <v>Источник тепловой энергии  </v>
      </c>
      <c r="AQ5" s="1625"/>
      <c r="AR5" s="1625"/>
      <c r="AS5" s="1632">
        <v>0</v>
      </c>
    </row>
    <row customHeight="1" ht="47.25" hidden="1">
      <c r="A6" s="1268"/>
      <c r="B6" s="1268"/>
      <c r="C6" s="1268"/>
      <c r="D6" s="1268"/>
      <c r="E6" s="2291"/>
      <c r="F6" s="2291"/>
      <c r="G6" s="2291"/>
      <c r="H6" s="2291"/>
      <c r="I6" s="2128">
        <f>S5&amp;".1"</f>
      </c>
      <c r="J6" s="1268"/>
      <c r="K6" s="1268"/>
      <c r="L6" s="1311" t="s">
        <v>420</v>
      </c>
      <c r="M6" s="1636"/>
      <c r="P6" s="2258">
        <v>1</v>
      </c>
      <c r="Q6" s="1955"/>
      <c r="R6" s="357"/>
      <c r="S6" s="1959">
        <f>$I6</f>
      </c>
      <c r="T6" s="286" t="s">
        <v>421</v>
      </c>
      <c r="U6" s="301"/>
      <c r="V6" s="2246"/>
      <c r="W6" s="2247"/>
      <c r="X6" s="2247"/>
      <c r="Y6" s="2247"/>
      <c r="Z6" s="2247"/>
      <c r="AA6" s="2247"/>
      <c r="AB6" s="2247"/>
      <c r="AC6" s="2248"/>
      <c r="AD6" s="2246"/>
      <c r="AE6" s="2247"/>
      <c r="AF6" s="2247"/>
      <c r="AG6" s="2247"/>
      <c r="AH6" s="2247"/>
      <c r="AI6" s="2247"/>
      <c r="AJ6" s="2247"/>
      <c r="AK6" s="2247"/>
      <c r="AL6" s="2248"/>
      <c r="AM6" s="1259" t="s">
        <v>422</v>
      </c>
      <c r="AO6" s="1625"/>
      <c r="AP6" s="1625" t="str">
        <f>IF(T6="","",T6)</f>
        <v>Схема подключения теплопотребляющей установки к коллектору источника тепловой энергии</v>
      </c>
      <c r="AQ6" s="1625"/>
      <c r="AR6" s="1625"/>
      <c r="AS6" s="1632">
        <v>0</v>
      </c>
    </row>
    <row customHeight="1" ht="21" hidden="1">
      <c r="A7" s="1268"/>
      <c r="B7" s="1268"/>
      <c r="C7" s="1268"/>
      <c r="D7" s="1268"/>
      <c r="E7" s="2291"/>
      <c r="F7" s="2291"/>
      <c r="G7" s="2291"/>
      <c r="H7" s="2291"/>
      <c r="I7" s="2102"/>
      <c r="J7" s="2128">
        <f>I6&amp;".1"</f>
      </c>
      <c r="K7" s="1268"/>
      <c r="L7" s="1311" t="s">
        <v>423</v>
      </c>
      <c r="M7" s="1636"/>
      <c r="N7" s="1632"/>
      <c r="P7" s="2258"/>
      <c r="Q7" s="2258">
        <v>1</v>
      </c>
      <c r="R7" s="358"/>
      <c r="S7" s="1959">
        <f>$J7</f>
      </c>
      <c r="T7" s="287" t="s">
        <v>424</v>
      </c>
      <c r="U7" s="301"/>
      <c r="V7" s="2246"/>
      <c r="W7" s="2247"/>
      <c r="X7" s="2247"/>
      <c r="Y7" s="2247"/>
      <c r="Z7" s="2247"/>
      <c r="AA7" s="2247"/>
      <c r="AB7" s="2247"/>
      <c r="AC7" s="2248"/>
      <c r="AD7" s="2246"/>
      <c r="AE7" s="2247"/>
      <c r="AF7" s="2247"/>
      <c r="AG7" s="2247"/>
      <c r="AH7" s="2247"/>
      <c r="AI7" s="2247"/>
      <c r="AJ7" s="2247"/>
      <c r="AK7" s="2247"/>
      <c r="AL7" s="2248"/>
      <c r="AM7" s="1259" t="s">
        <v>425</v>
      </c>
      <c r="AO7" s="1625"/>
      <c r="AP7" s="1625" t="str">
        <f>IF(T7="","",T7)</f>
        <v>Группа потребителей</v>
      </c>
      <c r="AQ7" s="1625"/>
      <c r="AR7" s="1625"/>
      <c r="AS7" s="1632">
        <v>0</v>
      </c>
    </row>
    <row customHeight="1" ht="21" hidden="1">
      <c r="A8" s="1268"/>
      <c r="B8" s="1268"/>
      <c r="C8" s="1268"/>
      <c r="D8" s="1268"/>
      <c r="E8" s="2291"/>
      <c r="F8" s="2291"/>
      <c r="G8" s="2291"/>
      <c r="H8" s="2291"/>
      <c r="I8" s="2102"/>
      <c r="J8" s="2102"/>
      <c r="K8" s="2128">
        <f>J7&amp;".1"</f>
      </c>
      <c r="L8" s="1311" t="s">
        <v>426</v>
      </c>
      <c r="M8" s="1636"/>
      <c r="N8" s="1632"/>
      <c r="O8" s="1632"/>
      <c r="P8" s="2258"/>
      <c r="Q8" s="2258"/>
      <c r="R8" s="358">
        <v>1</v>
      </c>
      <c r="S8" s="1959">
        <f>$K8</f>
      </c>
      <c r="T8" s="1348"/>
      <c r="U8" s="301"/>
      <c r="V8" s="752"/>
      <c r="W8" s="326"/>
      <c r="X8" s="752"/>
      <c r="Y8" s="1258"/>
      <c r="Z8" s="2266"/>
      <c r="AA8" s="2108" t="s">
        <v>61</v>
      </c>
      <c r="AB8" s="2266"/>
      <c r="AC8" s="2108" t="s">
        <v>61</v>
      </c>
      <c r="AD8" s="752"/>
      <c r="AE8" s="326"/>
      <c r="AF8" s="752"/>
      <c r="AG8" s="1258"/>
      <c r="AH8" s="2266"/>
      <c r="AI8" s="2108" t="s">
        <v>61</v>
      </c>
      <c r="AJ8" s="2266"/>
      <c r="AK8" s="2108" t="s">
        <v>61</v>
      </c>
      <c r="AL8" s="326"/>
      <c r="AM8" s="2254" t="s">
        <v>427</v>
      </c>
      <c r="AN8" s="1637">
        <f>STRCHECKDATE(V9:AL9)</f>
      </c>
      <c r="AO8" s="1625"/>
      <c r="AP8" s="1625" t="str">
        <f>IF(T8="","",T8)</f>
        <v/>
      </c>
      <c r="AQ8" s="1625"/>
      <c r="AR8" s="1625"/>
      <c r="AS8" s="1632">
        <v>0</v>
      </c>
    </row>
    <row customHeight="1" ht="0.75" hidden="1">
      <c r="A9" s="1268"/>
      <c r="B9" s="1268"/>
      <c r="C9" s="1268"/>
      <c r="D9" s="1268"/>
      <c r="E9" s="2291"/>
      <c r="F9" s="2291"/>
      <c r="G9" s="2291"/>
      <c r="H9" s="2291"/>
      <c r="I9" s="2102"/>
      <c r="J9" s="2102"/>
      <c r="K9" s="2128"/>
      <c r="L9" s="1311"/>
      <c r="M9" s="1636"/>
      <c r="N9" s="1632"/>
      <c r="O9" s="1632"/>
      <c r="P9" s="2258"/>
      <c r="Q9" s="2258"/>
      <c r="R9" s="358"/>
      <c r="S9" s="1968"/>
      <c r="T9" s="301"/>
      <c r="U9" s="301"/>
      <c r="V9" s="326"/>
      <c r="W9" s="326"/>
      <c r="X9" s="326"/>
      <c r="Y9" s="329" t="str">
        <f>Z8&amp;"-"&amp;AB8</f>
        <v>-</v>
      </c>
      <c r="Z9" s="2267"/>
      <c r="AA9" s="2108"/>
      <c r="AB9" s="2267"/>
      <c r="AC9" s="2108"/>
      <c r="AD9" s="326"/>
      <c r="AE9" s="326"/>
      <c r="AF9" s="326"/>
      <c r="AG9" s="329" t="str">
        <f>AH8&amp;"-"&amp;AJ8</f>
        <v>-</v>
      </c>
      <c r="AH9" s="2267"/>
      <c r="AI9" s="2108"/>
      <c r="AJ9" s="2267"/>
      <c r="AK9" s="2108"/>
      <c r="AL9" s="326"/>
      <c r="AM9" s="2255"/>
      <c r="AO9" s="1625"/>
      <c r="AP9" s="1625" t="str">
        <f>IF(T9="","",T9)</f>
        <v/>
      </c>
      <c r="AQ9" s="1625"/>
      <c r="AR9" s="1625"/>
      <c r="AS9" s="1632">
        <v>0</v>
      </c>
    </row>
    <row customHeight="1" ht="15" hidden="1">
      <c r="A10" s="1268"/>
      <c r="B10" s="1268"/>
      <c r="C10" s="1268"/>
      <c r="D10" s="1268"/>
      <c r="E10" s="2291"/>
      <c r="F10" s="2291"/>
      <c r="G10" s="2291"/>
      <c r="H10" s="2291"/>
      <c r="I10" s="2102"/>
      <c r="J10" s="2128"/>
      <c r="K10" s="1268"/>
      <c r="L10" s="1311"/>
      <c r="M10" s="1636"/>
      <c r="N10" s="1632"/>
      <c r="P10" s="2258"/>
      <c r="Q10" s="2258"/>
      <c r="R10" s="357"/>
      <c r="S10" s="1279"/>
      <c r="T10" s="289" t="s">
        <v>428</v>
      </c>
      <c r="U10" s="601"/>
      <c r="V10" s="601"/>
      <c r="W10" s="601"/>
      <c r="X10" s="601"/>
      <c r="Y10" s="601"/>
      <c r="Z10" s="601"/>
      <c r="AA10" s="601"/>
      <c r="AB10" s="601"/>
      <c r="AC10" s="601"/>
      <c r="AD10" s="601"/>
      <c r="AE10" s="601"/>
      <c r="AF10" s="601"/>
      <c r="AG10" s="601"/>
      <c r="AH10" s="601"/>
      <c r="AI10" s="601"/>
      <c r="AJ10" s="601"/>
      <c r="AK10" s="601"/>
      <c r="AL10" s="325"/>
      <c r="AM10" s="2256"/>
      <c r="AO10" s="1625"/>
      <c r="AP10" s="1625" t="str">
        <f>IF(T10="","",T10)</f>
        <v>Добавить вид теплоносителя (параметры теплоносителя)</v>
      </c>
      <c r="AQ10" s="1625"/>
      <c r="AR10" s="1625"/>
      <c r="AS10" s="1632">
        <v>0</v>
      </c>
    </row>
    <row customHeight="1" ht="15" hidden="1">
      <c r="A11" s="1268"/>
      <c r="B11" s="1268"/>
      <c r="C11" s="1268"/>
      <c r="D11" s="1268"/>
      <c r="E11" s="2291"/>
      <c r="F11" s="2291"/>
      <c r="G11" s="2291"/>
      <c r="H11" s="2291"/>
      <c r="I11" s="2128"/>
      <c r="J11" s="1268"/>
      <c r="K11" s="1268"/>
      <c r="L11" s="1311"/>
      <c r="M11" s="1636"/>
      <c r="P11" s="2258"/>
      <c r="Q11" s="1955"/>
      <c r="R11" s="357"/>
      <c r="S11" s="1279"/>
      <c r="T11" s="288" t="s">
        <v>429</v>
      </c>
      <c r="U11" s="601"/>
      <c r="V11" s="601"/>
      <c r="W11" s="601"/>
      <c r="X11" s="601"/>
      <c r="Y11" s="601"/>
      <c r="Z11" s="601"/>
      <c r="AA11" s="601"/>
      <c r="AB11" s="601"/>
      <c r="AC11" s="367"/>
      <c r="AD11" s="601"/>
      <c r="AE11" s="601"/>
      <c r="AF11" s="601"/>
      <c r="AG11" s="601"/>
      <c r="AH11" s="601"/>
      <c r="AI11" s="601"/>
      <c r="AJ11" s="601"/>
      <c r="AK11" s="367"/>
      <c r="AL11" s="601"/>
      <c r="AM11" s="304"/>
      <c r="AO11" s="1625"/>
      <c r="AP11" s="1625" t="str">
        <f>IF(T11="","",T11)</f>
        <v>Добавить группу потребителей</v>
      </c>
      <c r="AQ11" s="1625"/>
      <c r="AR11" s="1625"/>
      <c r="AS11" s="1632">
        <v>0</v>
      </c>
    </row>
    <row customHeight="1" ht="14.25" hidden="1">
      <c r="A12" s="1268"/>
      <c r="B12" s="1268"/>
      <c r="C12" s="1268"/>
      <c r="D12" s="1268"/>
      <c r="E12" s="2291"/>
      <c r="F12" s="2291"/>
      <c r="G12" s="2291"/>
      <c r="H12" s="2290"/>
      <c r="I12" s="1268"/>
      <c r="J12" s="1268"/>
      <c r="K12" s="1268"/>
      <c r="L12" s="1311"/>
      <c r="M12" s="1611"/>
      <c r="N12" s="1611"/>
      <c r="O12" s="1636"/>
      <c r="P12" s="361"/>
      <c r="Q12" s="376"/>
      <c r="R12" s="356"/>
      <c r="S12" s="1279"/>
      <c r="T12" s="366" t="s">
        <v>430</v>
      </c>
      <c r="U12" s="601"/>
      <c r="V12" s="601"/>
      <c r="W12" s="601"/>
      <c r="X12" s="601"/>
      <c r="Y12" s="601"/>
      <c r="Z12" s="601"/>
      <c r="AA12" s="601"/>
      <c r="AB12" s="601"/>
      <c r="AC12" s="367"/>
      <c r="AD12" s="601"/>
      <c r="AE12" s="601"/>
      <c r="AF12" s="601"/>
      <c r="AG12" s="601"/>
      <c r="AH12" s="601"/>
      <c r="AI12" s="601"/>
      <c r="AJ12" s="601"/>
      <c r="AK12" s="367"/>
      <c r="AL12" s="601"/>
      <c r="AM12" s="304"/>
      <c r="AO12" s="1625"/>
      <c r="AP12" s="1625" t="str">
        <f>IF(T12="","",T12)</f>
        <v>Добавить схему подключения</v>
      </c>
      <c r="AQ12" s="1625"/>
      <c r="AR12" s="1625"/>
      <c r="AS12" s="1632">
        <v>0</v>
      </c>
    </row>
    <row s="1643" customFormat="1" customHeight="1" ht="0.75" hidden="1">
      <c r="A13" s="1375"/>
      <c r="B13" s="1375"/>
      <c r="C13" s="1375"/>
      <c r="D13" s="1375"/>
      <c r="E13" s="2291"/>
      <c r="F13" s="2291"/>
      <c r="G13" s="2290"/>
      <c r="H13" s="1375"/>
      <c r="I13" s="1375"/>
      <c r="J13" s="1375"/>
      <c r="K13" s="1375"/>
      <c r="L13" s="1378"/>
      <c r="M13" s="1379"/>
      <c r="N13" s="1379"/>
      <c r="O13" s="352"/>
      <c r="P13" s="1317"/>
      <c r="Q13" s="1318"/>
      <c r="R13" s="1317"/>
      <c r="S13" s="1319"/>
      <c r="T13" s="1320" t="s">
        <v>176</v>
      </c>
      <c r="U13" s="1321"/>
      <c r="V13" s="1321"/>
      <c r="W13" s="1321"/>
      <c r="X13" s="1321"/>
      <c r="Y13" s="1321"/>
      <c r="Z13" s="1321"/>
      <c r="AA13" s="1321"/>
      <c r="AB13" s="1321"/>
      <c r="AC13" s="1321"/>
      <c r="AD13" s="1321"/>
      <c r="AE13" s="1321"/>
      <c r="AF13" s="1321"/>
      <c r="AG13" s="1321"/>
      <c r="AH13" s="1321"/>
      <c r="AI13" s="1321"/>
      <c r="AJ13" s="1321"/>
      <c r="AK13" s="1321"/>
      <c r="AL13" s="1321"/>
      <c r="AM13" s="1321"/>
      <c r="AO13" s="1252"/>
      <c r="AP13" s="1252" t="str">
        <f>IF(T13="","",T13)</f>
        <v>Добавить источник для дифференциации</v>
      </c>
      <c r="AQ13" s="1252"/>
      <c r="AR13" s="1252"/>
      <c r="AS13" s="1643">
        <v>0</v>
      </c>
    </row>
    <row s="1643" customFormat="1" customHeight="1" ht="0.75" hidden="1">
      <c r="A14" s="1375"/>
      <c r="B14" s="1375"/>
      <c r="C14" s="1375"/>
      <c r="D14" s="1375"/>
      <c r="E14" s="2291"/>
      <c r="F14" s="2290"/>
      <c r="G14" s="1375"/>
      <c r="H14" s="1375"/>
      <c r="I14" s="1375"/>
      <c r="J14" s="1375"/>
      <c r="K14" s="1375"/>
      <c r="L14" s="1378"/>
      <c r="M14" s="1380"/>
      <c r="N14" s="1380"/>
      <c r="O14" s="352"/>
      <c r="P14" s="1317"/>
      <c r="Q14" s="1318"/>
      <c r="R14" s="1317"/>
      <c r="S14" s="1323"/>
      <c r="T14" s="1324" t="s">
        <v>177</v>
      </c>
      <c r="U14" s="1325"/>
      <c r="V14" s="1325"/>
      <c r="W14" s="1325"/>
      <c r="X14" s="1325"/>
      <c r="Y14" s="1325"/>
      <c r="Z14" s="1325"/>
      <c r="AA14" s="1325"/>
      <c r="AB14" s="1325"/>
      <c r="AC14" s="1325"/>
      <c r="AD14" s="1325"/>
      <c r="AE14" s="1325"/>
      <c r="AF14" s="1325"/>
      <c r="AG14" s="1325"/>
      <c r="AH14" s="1325"/>
      <c r="AI14" s="1325"/>
      <c r="AJ14" s="1325"/>
      <c r="AK14" s="1325"/>
      <c r="AL14" s="1325"/>
      <c r="AM14" s="1325"/>
      <c r="AO14" s="1252"/>
      <c r="AP14" s="1252" t="str">
        <f>IF(T14="","",T14)</f>
        <v>Добавить централизованную систему для дифференциации</v>
      </c>
      <c r="AQ14" s="1252"/>
      <c r="AR14" s="1252"/>
      <c r="AS14" s="1643">
        <v>0</v>
      </c>
    </row>
    <row s="1643" customFormat="1" customHeight="1" ht="0.75" hidden="1">
      <c r="A15" s="1375"/>
      <c r="B15" s="1375"/>
      <c r="C15" s="1375"/>
      <c r="D15" s="1375"/>
      <c r="E15" s="2290"/>
      <c r="F15" s="1375"/>
      <c r="G15" s="1375"/>
      <c r="H15" s="1375"/>
      <c r="I15" s="1375"/>
      <c r="J15" s="1375"/>
      <c r="K15" s="1375"/>
      <c r="L15" s="1378"/>
      <c r="M15" s="1380"/>
      <c r="N15" s="1380"/>
      <c r="O15" s="352"/>
      <c r="P15" s="1317"/>
      <c r="Q15" s="1318"/>
      <c r="R15" s="1317"/>
      <c r="S15" s="1323"/>
      <c r="T15" s="1326" t="s">
        <v>178</v>
      </c>
      <c r="U15" s="1325"/>
      <c r="V15" s="1325"/>
      <c r="W15" s="1325"/>
      <c r="X15" s="1325"/>
      <c r="Y15" s="1325"/>
      <c r="Z15" s="1325"/>
      <c r="AA15" s="1325"/>
      <c r="AB15" s="1325"/>
      <c r="AC15" s="1325"/>
      <c r="AD15" s="1325"/>
      <c r="AE15" s="1325"/>
      <c r="AF15" s="1325"/>
      <c r="AG15" s="1325"/>
      <c r="AH15" s="1325"/>
      <c r="AI15" s="1325"/>
      <c r="AJ15" s="1325"/>
      <c r="AK15" s="1325"/>
      <c r="AL15" s="1325"/>
      <c r="AM15" s="1325"/>
      <c r="AO15" s="1252"/>
      <c r="AP15" s="1252" t="str">
        <f>IF(T15="","",T15)</f>
        <v>Добавить территорию для дифференциации</v>
      </c>
      <c r="AQ15" s="1252"/>
      <c r="AR15" s="1252"/>
      <c r="AS15" s="1643">
        <v>0</v>
      </c>
    </row>
    <row customHeight="1" ht="14.25" hidden="1">
      <c r="AS16" s="1632">
        <v>0</v>
      </c>
    </row>
    <row customHeight="1" ht="14.25" hidden="1">
      <c r="AD17" s="1361"/>
      <c r="AE17" s="1361"/>
      <c r="AF17" s="1361"/>
      <c r="AG17" s="1362"/>
      <c r="AH17" s="2268"/>
      <c r="AI17" s="2269" t="s">
        <v>61</v>
      </c>
      <c r="AJ17" s="2268"/>
      <c r="AK17" s="2269" t="s">
        <v>61</v>
      </c>
      <c r="AS17" s="1632">
        <v>0</v>
      </c>
    </row>
    <row customHeight="1" ht="14.25" hidden="1">
      <c r="AD18" s="1361"/>
      <c r="AE18" s="1361"/>
      <c r="AF18" s="1361"/>
      <c r="AG18" s="329" t="str">
        <f>AH17&amp;"-"&amp;AJ17</f>
        <v>-</v>
      </c>
      <c r="AH18" s="2269"/>
      <c r="AI18" s="2269"/>
      <c r="AJ18" s="2269"/>
      <c r="AK18" s="2269"/>
      <c r="AS18" s="1632">
        <v>0</v>
      </c>
    </row>
    <row customHeight="1" ht="14.25" hidden="1">
      <c r="AS19" s="1632">
        <v>0</v>
      </c>
    </row>
    <row s="1367" customFormat="1" customHeight="1" ht="14.25" hidden="1">
      <c r="A20" s="1632"/>
      <c r="B20" s="1632"/>
      <c r="C20" s="1632"/>
      <c r="D20" s="1632"/>
      <c r="E20" s="1632"/>
      <c r="F20" s="1632"/>
      <c r="G20" s="1632"/>
      <c r="H20" s="1632"/>
      <c r="I20" s="1632"/>
      <c r="J20" s="1632"/>
      <c r="K20" s="1632"/>
      <c r="L20" s="1940"/>
      <c r="M20" s="1966"/>
      <c r="N20" s="1966"/>
      <c r="O20" s="1346" t="s">
        <v>431</v>
      </c>
      <c r="P20" s="1363"/>
      <c r="Q20" s="1372"/>
      <c r="R20" s="1372"/>
      <c r="S20" s="730"/>
      <c r="Z20" s="1368"/>
      <c r="AB20" s="1368"/>
      <c r="AH20" s="1368"/>
      <c r="AJ20" s="1368"/>
      <c r="AN20" s="1637"/>
      <c r="AO20" s="1637"/>
      <c r="AP20" s="1637"/>
      <c r="AQ20" s="1637"/>
      <c r="AR20" s="1637"/>
      <c r="AS20" s="1367">
        <v>0</v>
      </c>
    </row>
    <row s="1367" customFormat="1" customHeight="1" ht="14.25" hidden="1">
      <c r="A21" s="1632"/>
      <c r="B21" s="1632"/>
      <c r="C21" s="1632"/>
      <c r="D21" s="1632"/>
      <c r="E21" s="1632"/>
      <c r="F21" s="1632"/>
      <c r="G21" s="1632"/>
      <c r="H21" s="1632"/>
      <c r="I21" s="1632"/>
      <c r="J21" s="1632"/>
      <c r="K21" s="1632"/>
      <c r="L21" s="1940"/>
      <c r="M21" s="1966"/>
      <c r="N21" s="1966"/>
      <c r="O21" s="1966"/>
      <c r="P21" s="1363"/>
      <c r="Q21" s="1372"/>
      <c r="R21" s="1372"/>
      <c r="S21" s="730"/>
      <c r="AN21" s="1637"/>
      <c r="AO21" s="1637"/>
      <c r="AP21" s="1637"/>
      <c r="AQ21" s="1637"/>
      <c r="AR21" s="1637"/>
      <c r="AS21" s="1367">
        <v>0</v>
      </c>
    </row>
    <row s="1367" customFormat="1" customHeight="1" ht="14.25" hidden="1">
      <c r="A22" s="1632"/>
      <c r="B22" s="1632"/>
      <c r="C22" s="1632"/>
      <c r="D22" s="1632"/>
      <c r="E22" s="1632"/>
      <c r="F22" s="1632"/>
      <c r="G22" s="1632"/>
      <c r="H22" s="1632"/>
      <c r="I22" s="1632"/>
      <c r="J22" s="1632"/>
      <c r="K22" s="1632"/>
      <c r="L22" s="1940"/>
      <c r="M22" s="1966"/>
      <c r="N22" s="1966"/>
      <c r="O22" s="1311" t="s">
        <v>432</v>
      </c>
      <c r="P22" s="1363"/>
      <c r="Q22" s="1372"/>
      <c r="R22" s="1372"/>
      <c r="S22" s="730"/>
      <c r="T22" s="1367" t="s">
        <v>433</v>
      </c>
      <c r="AA22" s="596" t="s">
        <v>434</v>
      </c>
      <c r="AC22" s="596" t="s">
        <v>435</v>
      </c>
      <c r="AD22" s="1367" t="s">
        <v>433</v>
      </c>
      <c r="AI22" s="596" t="s">
        <v>436</v>
      </c>
      <c r="AK22" s="596" t="s">
        <v>435</v>
      </c>
      <c r="AN22" s="1637"/>
      <c r="AO22" s="1637"/>
      <c r="AP22" s="1637"/>
      <c r="AQ22" s="1637"/>
      <c r="AR22" s="1637"/>
      <c r="AS22" s="1367">
        <v>0</v>
      </c>
    </row>
    <row customHeight="1" ht="14.25" hidden="1">
      <c r="O23" s="1311"/>
      <c r="AS23" s="1632">
        <v>0</v>
      </c>
    </row>
    <row customHeight="1" ht="14.25" hidden="1">
      <c r="O24" s="1311"/>
      <c r="AS24" s="1632">
        <v>0</v>
      </c>
    </row>
    <row customHeight="1" ht="14.699999999999998">
      <c r="Q25" s="377"/>
      <c r="R25" s="377"/>
      <c r="S25" s="1276"/>
      <c r="T25" s="458"/>
      <c r="U25" s="458"/>
      <c r="V25" s="1636"/>
      <c r="W25" s="1636"/>
      <c r="X25" s="1636"/>
      <c r="Y25" s="1636"/>
      <c r="Z25" s="1636"/>
      <c r="AA25" s="1636"/>
      <c r="AB25" s="1636"/>
      <c r="AC25" s="1636"/>
      <c r="AD25" s="1636"/>
      <c r="AE25" s="1636"/>
      <c r="AF25" s="1636"/>
      <c r="AG25" s="1636"/>
      <c r="AH25" s="1636"/>
      <c r="AI25" s="1636"/>
      <c r="AJ25" s="1636"/>
      <c r="AK25" s="1636"/>
      <c r="AS25" s="1632">
        <v>14</v>
      </c>
    </row>
    <row customHeight="1" ht="14.699999999999998">
      <c r="Q26" s="377"/>
      <c r="R26" s="377"/>
      <c r="S26" s="2249" t="str">
        <f>IF(TEMPLATE_GROUP="P",PT_P_FORM_HEAT_4_NAME_FORM,PT_R_FORM_HEAT_21_NAME_FORM)</f>
        <v>Форма 19. Информация о предложении регулируемой организации о расчетной величине тарифов в сфере теплоснабжения на очередной расчетный период регулирования</v>
      </c>
      <c r="T26" s="2249"/>
      <c r="U26" s="2249"/>
      <c r="V26" s="2249"/>
      <c r="W26" s="2249"/>
      <c r="X26" s="2249"/>
      <c r="Y26" s="2249"/>
      <c r="Z26" s="2249"/>
      <c r="AA26" s="2249"/>
      <c r="AB26" s="2249"/>
      <c r="AC26" s="2249"/>
      <c r="AD26" s="2249"/>
      <c r="AE26" s="2249"/>
      <c r="AF26" s="2249"/>
      <c r="AG26" s="2249"/>
      <c r="AH26" s="2249"/>
      <c r="AI26" s="2249"/>
      <c r="AJ26" s="2249"/>
      <c r="AK26" s="1244"/>
      <c r="AS26" s="1632">
        <v>14</v>
      </c>
    </row>
    <row customHeight="1" ht="14.699999999999998">
      <c r="Q27" s="377"/>
      <c r="R27" s="377"/>
      <c r="S27" s="2250" t="str">
        <f>IF(org=0,"Не определено",org)</f>
        <v>ПАО "КГК"</v>
      </c>
      <c r="T27" s="2250"/>
      <c r="U27" s="2250"/>
      <c r="V27" s="2250"/>
      <c r="W27" s="2250"/>
      <c r="X27" s="2250"/>
      <c r="Y27" s="2250"/>
      <c r="Z27" s="2250"/>
      <c r="AA27" s="2250"/>
      <c r="AB27" s="2250"/>
      <c r="AC27" s="2250"/>
      <c r="AD27" s="2250"/>
      <c r="AE27" s="2250"/>
      <c r="AF27" s="2250"/>
      <c r="AG27" s="2250"/>
      <c r="AH27" s="2250"/>
      <c r="AI27" s="2250"/>
      <c r="AJ27" s="2250"/>
      <c r="AK27" s="1244"/>
      <c r="AS27" s="1632">
        <v>14</v>
      </c>
    </row>
    <row customHeight="1" ht="14.25" hidden="1">
      <c r="Q28" s="377"/>
      <c r="R28" s="377"/>
      <c r="S28" s="1276"/>
      <c r="T28" s="458"/>
      <c r="U28" s="458"/>
      <c r="V28" s="323"/>
      <c r="W28" s="323"/>
      <c r="X28" s="323"/>
      <c r="Y28" s="323"/>
      <c r="Z28" s="323"/>
      <c r="AA28" s="323"/>
      <c r="AB28" s="323"/>
      <c r="AC28" s="323"/>
      <c r="AD28" s="323"/>
      <c r="AE28" s="323"/>
      <c r="AF28" s="323"/>
      <c r="AG28" s="323"/>
      <c r="AH28" s="323"/>
      <c r="AI28" s="323"/>
      <c r="AJ28" s="323"/>
      <c r="AK28" s="323"/>
      <c r="AL28" s="1636"/>
      <c r="AS28" s="1632">
        <v>0</v>
      </c>
    </row>
    <row s="1854" customFormat="1" customHeight="1" ht="25.5" hidden="1">
      <c r="A29" s="1249"/>
      <c r="B29" s="1249"/>
      <c r="C29" s="1249"/>
      <c r="D29" s="1249"/>
      <c r="E29" s="1249"/>
      <c r="F29" s="1249"/>
      <c r="G29" s="1249"/>
      <c r="H29" s="1249"/>
      <c r="I29" s="1249"/>
      <c r="J29" s="1249"/>
      <c r="K29" s="1249"/>
      <c r="L29" s="1381"/>
      <c r="M29" s="1249"/>
      <c r="N29" s="1249"/>
      <c r="O29" s="1249"/>
      <c r="S29" s="2251" t="s">
        <v>42</v>
      </c>
      <c r="T29" s="2251"/>
      <c r="U29" s="1373"/>
      <c r="V29" s="2252" t="str">
        <f>IF(TITLE_NAME_OR_PR_CHANGE="",IF(TITLE_NAME_OR_PR="","",TITLE_NAME_OR_PR),TITLE_NAME_OR_PR_CHANGE)</f>
        <v/>
      </c>
      <c r="W29" s="2252"/>
      <c r="X29" s="2252"/>
      <c r="Y29" s="2252"/>
      <c r="Z29" s="2252"/>
      <c r="AA29" s="2252"/>
      <c r="AB29" s="2252"/>
      <c r="AC29" s="1636"/>
      <c r="AD29" s="2252" t="str">
        <f>IF(TITLE_NAME_OR_PR_CHANGE="",IF(TITLE_NAME_OR_PR="","",TITLE_NAME_OR_PR),TITLE_NAME_OR_PR_CHANGE)</f>
        <v/>
      </c>
      <c r="AE29" s="2252"/>
      <c r="AF29" s="2252"/>
      <c r="AG29" s="2252"/>
      <c r="AH29" s="2252"/>
      <c r="AI29" s="2252"/>
      <c r="AJ29" s="2252"/>
      <c r="AK29" s="1636"/>
      <c r="AL29" s="1636"/>
      <c r="AM29" s="281"/>
      <c r="AN29" s="369"/>
      <c r="AO29" s="369"/>
      <c r="AP29" s="369"/>
      <c r="AQ29" s="369"/>
      <c r="AR29" s="369"/>
      <c r="AS29" s="419">
        <v>0</v>
      </c>
    </row>
    <row s="1854" customFormat="1" customHeight="1" ht="18.75" hidden="1">
      <c r="A30" s="1249"/>
      <c r="B30" s="1249"/>
      <c r="C30" s="1249"/>
      <c r="D30" s="1249"/>
      <c r="E30" s="1249"/>
      <c r="F30" s="1249"/>
      <c r="G30" s="1249"/>
      <c r="H30" s="1249"/>
      <c r="I30" s="1249"/>
      <c r="J30" s="1249"/>
      <c r="K30" s="1249"/>
      <c r="L30" s="1381"/>
      <c r="M30" s="1249"/>
      <c r="N30" s="1249"/>
      <c r="O30" s="1249"/>
      <c r="S30" s="2251" t="s">
        <v>437</v>
      </c>
      <c r="T30" s="2251"/>
      <c r="U30" s="1373"/>
      <c r="V30" s="2265" t="str">
        <f>IF(TITLE_DATE_PR_CHANGE="",IF(TITLE_DATE_PR="","",TITLE_DATE_PR),TITLE_DATE_PR_CHANGE)</f>
        <v>46142</v>
      </c>
      <c r="W30" s="2265"/>
      <c r="X30" s="2265"/>
      <c r="Y30" s="2265"/>
      <c r="Z30" s="2265"/>
      <c r="AA30" s="2265"/>
      <c r="AB30" s="2265"/>
      <c r="AC30" s="1636"/>
      <c r="AD30" s="2265" t="str">
        <f>IF(TITLE_DATE_PR_CHANGE="",IF(TITLE_DATE_PR="","",TITLE_DATE_PR),TITLE_DATE_PR_CHANGE)</f>
        <v>46142</v>
      </c>
      <c r="AE30" s="2265"/>
      <c r="AF30" s="2265"/>
      <c r="AG30" s="2265"/>
      <c r="AH30" s="2265"/>
      <c r="AI30" s="2265"/>
      <c r="AJ30" s="2265"/>
      <c r="AK30" s="1636"/>
      <c r="AL30" s="1636"/>
      <c r="AM30" s="281"/>
      <c r="AN30" s="369"/>
      <c r="AO30" s="369"/>
      <c r="AP30" s="369"/>
      <c r="AQ30" s="369"/>
      <c r="AR30" s="369"/>
      <c r="AS30" s="419">
        <v>0</v>
      </c>
    </row>
    <row s="1854" customFormat="1" customHeight="1" ht="18.75" hidden="1">
      <c r="A31" s="1249"/>
      <c r="B31" s="1249"/>
      <c r="C31" s="1249"/>
      <c r="D31" s="1249"/>
      <c r="E31" s="1249"/>
      <c r="F31" s="1249"/>
      <c r="G31" s="1249"/>
      <c r="H31" s="1249"/>
      <c r="I31" s="1249"/>
      <c r="J31" s="1249"/>
      <c r="K31" s="1249"/>
      <c r="L31" s="1381"/>
      <c r="M31" s="1249"/>
      <c r="N31" s="1249"/>
      <c r="O31" s="1249"/>
      <c r="S31" s="2251" t="s">
        <v>438</v>
      </c>
      <c r="T31" s="2251"/>
      <c r="U31" s="1373"/>
      <c r="V31" s="2252" t="str">
        <f>IF(TITLE_NUMBER_PR_CHANGE="",IF(TITLE_NUMBER_PR="","",TITLE_NUMBER_PR),TITLE_NUMBER_PR_CHANGE)</f>
        <v>206Т</v>
      </c>
      <c r="W31" s="2252"/>
      <c r="X31" s="2252"/>
      <c r="Y31" s="2252"/>
      <c r="Z31" s="2252"/>
      <c r="AA31" s="2252"/>
      <c r="AB31" s="2252"/>
      <c r="AC31" s="1636"/>
      <c r="AD31" s="2252" t="str">
        <f>IF(TITLE_NUMBER_PR_CHANGE="",IF(TITLE_NUMBER_PR="","",TITLE_NUMBER_PR),TITLE_NUMBER_PR_CHANGE)</f>
        <v>206Т</v>
      </c>
      <c r="AE31" s="2252"/>
      <c r="AF31" s="2252"/>
      <c r="AG31" s="2252"/>
      <c r="AH31" s="2252"/>
      <c r="AI31" s="2252"/>
      <c r="AJ31" s="2252"/>
      <c r="AK31" s="1636"/>
      <c r="AL31" s="1636"/>
      <c r="AM31" s="281"/>
      <c r="AN31" s="369"/>
      <c r="AO31" s="369"/>
      <c r="AP31" s="369"/>
      <c r="AQ31" s="369"/>
      <c r="AR31" s="369"/>
      <c r="AS31" s="419">
        <v>0</v>
      </c>
    </row>
    <row s="1854" customFormat="1" customHeight="1" ht="18.75" hidden="1">
      <c r="A32" s="1249"/>
      <c r="B32" s="1249"/>
      <c r="C32" s="1249"/>
      <c r="D32" s="1249"/>
      <c r="E32" s="1249"/>
      <c r="F32" s="1249"/>
      <c r="G32" s="1249"/>
      <c r="H32" s="1249"/>
      <c r="I32" s="1249"/>
      <c r="J32" s="1249"/>
      <c r="K32" s="1249"/>
      <c r="L32" s="1381"/>
      <c r="M32" s="1249"/>
      <c r="N32" s="1249"/>
      <c r="O32" s="1249"/>
      <c r="S32" s="2251" t="s">
        <v>43</v>
      </c>
      <c r="T32" s="2251"/>
      <c r="U32" s="1373"/>
      <c r="V32" s="2252" t="str">
        <f>IF(TITLE_IST_PUB_CHANGE="",IF(TITLE_IST_PUB="","",TITLE_IST_PUB),TITLE_IST_PUB_CHANGE)</f>
        <v/>
      </c>
      <c r="W32" s="2252"/>
      <c r="X32" s="2252"/>
      <c r="Y32" s="2252"/>
      <c r="Z32" s="2252"/>
      <c r="AA32" s="2252"/>
      <c r="AB32" s="2252"/>
      <c r="AC32" s="1636"/>
      <c r="AD32" s="2252" t="str">
        <f>IF(TITLE_IST_PUB_CHANGE="",IF(TITLE_IST_PUB="","",TITLE_IST_PUB),TITLE_IST_PUB_CHANGE)</f>
        <v/>
      </c>
      <c r="AE32" s="2252"/>
      <c r="AF32" s="2252"/>
      <c r="AG32" s="2252"/>
      <c r="AH32" s="2252"/>
      <c r="AI32" s="2252"/>
      <c r="AJ32" s="2252"/>
      <c r="AK32" s="1636"/>
      <c r="AL32" s="1636"/>
      <c r="AM32" s="281"/>
      <c r="AN32" s="369"/>
      <c r="AO32" s="369"/>
      <c r="AP32" s="369"/>
      <c r="AQ32" s="369"/>
      <c r="AR32" s="369"/>
      <c r="AS32" s="419">
        <v>0</v>
      </c>
    </row>
    <row customHeight="1" ht="14.25" hidden="1">
      <c r="Q33" s="377"/>
      <c r="R33" s="377"/>
      <c r="S33" s="1276"/>
      <c r="T33" s="458"/>
      <c r="U33" s="458"/>
      <c r="V33" s="323"/>
      <c r="W33" s="323"/>
      <c r="X33" s="323"/>
      <c r="Y33" s="323"/>
      <c r="Z33" s="323"/>
      <c r="AA33" s="323"/>
      <c r="AB33" s="323"/>
      <c r="AC33" s="323"/>
      <c r="AD33" s="323"/>
      <c r="AE33" s="323"/>
      <c r="AF33" s="323"/>
      <c r="AG33" s="323"/>
      <c r="AH33" s="323"/>
      <c r="AI33" s="323"/>
      <c r="AJ33" s="323"/>
      <c r="AK33" s="323"/>
      <c r="AL33" s="1636"/>
      <c r="AS33" s="1632">
        <v>0</v>
      </c>
    </row>
    <row s="1854" customFormat="1" customHeight="1" ht="18.75" hidden="1">
      <c r="A34" s="1249"/>
      <c r="B34" s="1249"/>
      <c r="C34" s="1249"/>
      <c r="D34" s="1249"/>
      <c r="E34" s="1249"/>
      <c r="F34" s="1249"/>
      <c r="G34" s="1249"/>
      <c r="H34" s="1249"/>
      <c r="I34" s="1249"/>
      <c r="J34" s="1249"/>
      <c r="K34" s="1249"/>
      <c r="L34" s="1381"/>
      <c r="M34" s="1249"/>
      <c r="N34" s="1249"/>
      <c r="O34" s="1249"/>
      <c r="S34" s="2251" t="s">
        <v>439</v>
      </c>
      <c r="T34" s="2251"/>
      <c r="U34" s="1373"/>
      <c r="V34" s="2265" t="str">
        <f>IF(TITLE_DATE_PR_CHANGE="",IF(TITLE_DATE_PR="","",TITLE_DATE_PR),TITLE_DATE_PR_CHANGE)</f>
        <v>46142</v>
      </c>
      <c r="W34" s="2265"/>
      <c r="X34" s="2265"/>
      <c r="Y34" s="2265"/>
      <c r="Z34" s="2265"/>
      <c r="AA34" s="2265"/>
      <c r="AB34" s="2265"/>
      <c r="AC34" s="1636"/>
      <c r="AD34" s="2265" t="str">
        <f>IF(TITLE_DATE_PR_CHANGE="",IF(TITLE_DATE_PR="","",TITLE_DATE_PR),TITLE_DATE_PR_CHANGE)</f>
        <v>46142</v>
      </c>
      <c r="AE34" s="2265"/>
      <c r="AF34" s="2265"/>
      <c r="AG34" s="2265"/>
      <c r="AH34" s="2265"/>
      <c r="AI34" s="2265"/>
      <c r="AJ34" s="2265"/>
      <c r="AK34" s="1636"/>
      <c r="AL34" s="1636"/>
      <c r="AM34" s="281"/>
      <c r="AN34" s="369"/>
      <c r="AO34" s="369"/>
      <c r="AP34" s="369"/>
      <c r="AQ34" s="369"/>
      <c r="AR34" s="369"/>
      <c r="AS34" s="419">
        <v>0</v>
      </c>
    </row>
    <row s="1854" customFormat="1" customHeight="1" ht="18.75" hidden="1">
      <c r="A35" s="1249"/>
      <c r="B35" s="1249"/>
      <c r="C35" s="1249"/>
      <c r="D35" s="1249"/>
      <c r="E35" s="1249"/>
      <c r="F35" s="1249"/>
      <c r="G35" s="1249"/>
      <c r="H35" s="1249"/>
      <c r="I35" s="1249"/>
      <c r="J35" s="1249"/>
      <c r="K35" s="1249"/>
      <c r="L35" s="1381"/>
      <c r="M35" s="1249"/>
      <c r="N35" s="1249"/>
      <c r="O35" s="1249"/>
      <c r="S35" s="2251" t="s">
        <v>440</v>
      </c>
      <c r="T35" s="2251"/>
      <c r="U35" s="1373"/>
      <c r="V35" s="2252" t="str">
        <f>IF(TITLE_NUMBER_PR_CHANGE="",IF(TITLE_NUMBER_PR="","",TITLE_NUMBER_PR),TITLE_NUMBER_PR_CHANGE)</f>
        <v>206Т</v>
      </c>
      <c r="W35" s="2252"/>
      <c r="X35" s="2252"/>
      <c r="Y35" s="2252"/>
      <c r="Z35" s="2252"/>
      <c r="AA35" s="2252"/>
      <c r="AB35" s="2252"/>
      <c r="AC35" s="1636"/>
      <c r="AD35" s="2252" t="str">
        <f>IF(TITLE_NUMBER_PR_CHANGE="",IF(TITLE_NUMBER_PR="","",TITLE_NUMBER_PR),TITLE_NUMBER_PR_CHANGE)</f>
        <v>206Т</v>
      </c>
      <c r="AE35" s="2252"/>
      <c r="AF35" s="2252"/>
      <c r="AG35" s="2252"/>
      <c r="AH35" s="2252"/>
      <c r="AI35" s="2252"/>
      <c r="AJ35" s="2252"/>
      <c r="AK35" s="1636"/>
      <c r="AL35" s="1636"/>
      <c r="AM35" s="281"/>
      <c r="AN35" s="369"/>
      <c r="AO35" s="369"/>
      <c r="AP35" s="369"/>
      <c r="AQ35" s="369"/>
      <c r="AR35" s="369"/>
      <c r="AS35" s="419">
        <v>0</v>
      </c>
    </row>
    <row s="1854" customFormat="1" customHeight="1" ht="0">
      <c r="A36" s="1249"/>
      <c r="B36" s="1249"/>
      <c r="C36" s="1249"/>
      <c r="D36" s="1249"/>
      <c r="E36" s="1249"/>
      <c r="F36" s="1249"/>
      <c r="G36" s="1249"/>
      <c r="H36" s="1249"/>
      <c r="I36" s="1249"/>
      <c r="J36" s="1249"/>
      <c r="K36" s="1249"/>
      <c r="L36" s="1381"/>
      <c r="M36" s="1249"/>
      <c r="N36" s="1249"/>
      <c r="O36" s="1249"/>
      <c r="S36" s="1636"/>
      <c r="T36" s="1636"/>
      <c r="U36" s="1971"/>
      <c r="V36" s="1636"/>
      <c r="W36" s="1636"/>
      <c r="X36" s="1636"/>
      <c r="Y36" s="1636"/>
      <c r="Z36" s="1636"/>
      <c r="AA36" s="1636"/>
      <c r="AB36" s="1636"/>
      <c r="AC36" s="1643" t="s">
        <v>441</v>
      </c>
      <c r="AD36" s="1636"/>
      <c r="AE36" s="1636"/>
      <c r="AF36" s="1636"/>
      <c r="AG36" s="1636"/>
      <c r="AH36" s="1636"/>
      <c r="AI36" s="1636"/>
      <c r="AJ36" s="1636"/>
      <c r="AK36" s="1643" t="s">
        <v>441</v>
      </c>
      <c r="AN36" s="369"/>
      <c r="AO36" s="369"/>
      <c r="AP36" s="369"/>
      <c r="AQ36" s="369"/>
      <c r="AR36" s="369"/>
      <c r="AS36" s="419">
        <v>0</v>
      </c>
    </row>
    <row customHeight="1" ht="14.699999999999998">
      <c r="Q37" s="377"/>
      <c r="R37" s="377"/>
      <c r="S37" s="1276"/>
      <c r="T37" s="458"/>
      <c r="U37" s="1245"/>
      <c r="V37" s="2253"/>
      <c r="W37" s="2253"/>
      <c r="X37" s="2253"/>
      <c r="Y37" s="2253"/>
      <c r="Z37" s="2253"/>
      <c r="AA37" s="2253"/>
      <c r="AB37" s="2253"/>
      <c r="AC37" s="2253"/>
      <c r="AD37" s="2253"/>
      <c r="AE37" s="2253"/>
      <c r="AF37" s="2253"/>
      <c r="AG37" s="2253"/>
      <c r="AH37" s="2253"/>
      <c r="AI37" s="2253"/>
      <c r="AJ37" s="2253"/>
      <c r="AK37" s="2253"/>
      <c r="AS37" s="1632">
        <v>14</v>
      </c>
    </row>
    <row customHeight="1" ht="14.699999999999998">
      <c r="Q38" s="377"/>
      <c r="R38" s="377"/>
      <c r="S38" s="2128" t="s">
        <v>317</v>
      </c>
      <c r="T38" s="2128"/>
      <c r="U38" s="2128"/>
      <c r="V38" s="2128"/>
      <c r="W38" s="2128"/>
      <c r="X38" s="2128"/>
      <c r="Y38" s="2128"/>
      <c r="Z38" s="2128"/>
      <c r="AA38" s="2128"/>
      <c r="AB38" s="2128"/>
      <c r="AC38" s="2128"/>
      <c r="AD38" s="2128"/>
      <c r="AE38" s="2128"/>
      <c r="AF38" s="2128"/>
      <c r="AG38" s="2128"/>
      <c r="AH38" s="2128"/>
      <c r="AI38" s="2128"/>
      <c r="AJ38" s="2128"/>
      <c r="AK38" s="2128"/>
      <c r="AL38" s="2128"/>
      <c r="AM38" s="2128" t="s">
        <v>318</v>
      </c>
      <c r="AS38" s="1632">
        <v>14</v>
      </c>
    </row>
    <row customHeight="1" ht="14.699999999999998">
      <c r="Q39" s="377"/>
      <c r="R39" s="377"/>
      <c r="S39" s="2274" t="s">
        <v>89</v>
      </c>
      <c r="T39" s="2210" t="s">
        <v>442</v>
      </c>
      <c r="U39" s="338"/>
      <c r="V39" s="2275" t="s">
        <v>443</v>
      </c>
      <c r="W39" s="2276"/>
      <c r="X39" s="2276"/>
      <c r="Y39" s="2276"/>
      <c r="Z39" s="2276"/>
      <c r="AA39" s="2276"/>
      <c r="AB39" s="2277"/>
      <c r="AC39" s="2278" t="s">
        <v>444</v>
      </c>
      <c r="AD39" s="2275" t="s">
        <v>443</v>
      </c>
      <c r="AE39" s="2276"/>
      <c r="AF39" s="2276"/>
      <c r="AG39" s="2276"/>
      <c r="AH39" s="2276"/>
      <c r="AI39" s="2276"/>
      <c r="AJ39" s="2277"/>
      <c r="AK39" s="2278" t="s">
        <v>445</v>
      </c>
      <c r="AL39" s="2281" t="s">
        <v>446</v>
      </c>
      <c r="AM39" s="2128"/>
      <c r="AS39" s="1632">
        <v>14</v>
      </c>
    </row>
    <row customHeight="1" ht="35.699999999999996">
      <c r="Q40" s="377"/>
      <c r="R40" s="377"/>
      <c r="S40" s="2274"/>
      <c r="T40" s="2210"/>
      <c r="U40" s="1032"/>
      <c r="V40" s="2261" t="s">
        <v>447</v>
      </c>
      <c r="W40" s="2284" t="s">
        <v>448</v>
      </c>
      <c r="X40" s="2263" t="s">
        <v>449</v>
      </c>
      <c r="Y40" s="2264"/>
      <c r="Z40" s="2263" t="s">
        <v>462</v>
      </c>
      <c r="AA40" s="2270"/>
      <c r="AB40" s="2264"/>
      <c r="AC40" s="2279"/>
      <c r="AD40" s="2261" t="s">
        <v>447</v>
      </c>
      <c r="AE40" s="2284" t="s">
        <v>448</v>
      </c>
      <c r="AF40" s="2263" t="s">
        <v>449</v>
      </c>
      <c r="AG40" s="2264"/>
      <c r="AH40" s="2263" t="s">
        <v>450</v>
      </c>
      <c r="AI40" s="2270"/>
      <c r="AJ40" s="2264"/>
      <c r="AK40" s="2279"/>
      <c r="AL40" s="2282"/>
      <c r="AM40" s="2128"/>
      <c r="AS40" s="1632">
        <v>34</v>
      </c>
    </row>
    <row customHeight="1" ht="35.699999999999996">
      <c r="A41" s="1267"/>
      <c r="B41" s="1267" t="s">
        <v>143</v>
      </c>
      <c r="C41" s="1267" t="s">
        <v>144</v>
      </c>
      <c r="D41" s="1267" t="s">
        <v>145</v>
      </c>
      <c r="E41" s="1311" t="s">
        <v>451</v>
      </c>
      <c r="F41" s="1311" t="s">
        <v>452</v>
      </c>
      <c r="G41" s="1311" t="s">
        <v>453</v>
      </c>
      <c r="H41" s="1311" t="s">
        <v>454</v>
      </c>
      <c r="I41" s="1311" t="s">
        <v>455</v>
      </c>
      <c r="J41" s="1311" t="s">
        <v>456</v>
      </c>
      <c r="K41" s="1311" t="s">
        <v>457</v>
      </c>
      <c r="L41" s="1311" t="s">
        <v>432</v>
      </c>
      <c r="Q41" s="377"/>
      <c r="R41" s="377"/>
      <c r="S41" s="2274"/>
      <c r="T41" s="2210"/>
      <c r="U41" s="303"/>
      <c r="V41" s="2262"/>
      <c r="W41" s="2285"/>
      <c r="X41" s="1939" t="s">
        <v>458</v>
      </c>
      <c r="Y41" s="1939" t="s">
        <v>459</v>
      </c>
      <c r="Z41" s="1939" t="s">
        <v>460</v>
      </c>
      <c r="AA41" s="2271" t="s">
        <v>461</v>
      </c>
      <c r="AB41" s="2272"/>
      <c r="AC41" s="2280"/>
      <c r="AD41" s="2262"/>
      <c r="AE41" s="2285"/>
      <c r="AF41" s="1939" t="s">
        <v>458</v>
      </c>
      <c r="AG41" s="1939" t="s">
        <v>459</v>
      </c>
      <c r="AH41" s="1939" t="s">
        <v>460</v>
      </c>
      <c r="AI41" s="2271" t="s">
        <v>461</v>
      </c>
      <c r="AJ41" s="2272"/>
      <c r="AK41" s="2280"/>
      <c r="AL41" s="2283"/>
      <c r="AM41" s="2128"/>
      <c r="AS41" s="1632">
        <v>34</v>
      </c>
    </row>
    <row s="1642" customFormat="1" customHeight="1" ht="11.25" hidden="1">
      <c r="A42" s="1267"/>
      <c r="B42" s="1267"/>
      <c r="C42" s="1267"/>
      <c r="D42" s="1267"/>
      <c r="E42" s="1267"/>
      <c r="F42" s="1267"/>
      <c r="G42" s="1267"/>
      <c r="H42" s="1267"/>
      <c r="I42" s="1267"/>
      <c r="J42" s="1267"/>
      <c r="K42" s="1267"/>
      <c r="L42" s="1311"/>
      <c r="M42" s="1966"/>
      <c r="N42" s="1966"/>
      <c r="O42" s="1966"/>
      <c r="P42" s="1247"/>
      <c r="Q42" s="1248"/>
      <c r="R42" s="1255">
        <v>1</v>
      </c>
      <c r="S42" s="1278" t="s">
        <v>118</v>
      </c>
      <c r="T42" s="1256" t="s">
        <v>103</v>
      </c>
      <c r="U42" s="1246" t="str">
        <f>OFFSET(U42,0,-1)</f>
        <v>2</v>
      </c>
      <c r="V42" s="1957">
        <f>OFFSET(V42,0,-1)+1</f>
        <v>3</v>
      </c>
      <c r="W42" s="1957"/>
      <c r="X42" s="1957">
        <f>OFFSET(X42,0,-1)+1</f>
        <v>1</v>
      </c>
      <c r="Y42" s="1957">
        <f>OFFSET(Y42,0,-1)+1</f>
        <v>2</v>
      </c>
      <c r="Z42" s="1957">
        <f>OFFSET(Z42,0,-1)+1</f>
        <v>3</v>
      </c>
      <c r="AA42" s="2273">
        <f>OFFSET(AA42,0,-1)+1</f>
        <v>4</v>
      </c>
      <c r="AB42" s="2273"/>
      <c r="AC42" s="1957">
        <f>OFFSET(AC42,0,-2)+1</f>
        <v>5</v>
      </c>
      <c r="AD42" s="1957">
        <f>OFFSET(AD42,0,-1)+1</f>
        <v>6</v>
      </c>
      <c r="AE42" s="1957"/>
      <c r="AF42" s="1957">
        <f>OFFSET(AF42,0,-1)+1</f>
        <v>1</v>
      </c>
      <c r="AG42" s="1957">
        <f>OFFSET(AG42,0,-1)+1</f>
        <v>2</v>
      </c>
      <c r="AH42" s="1957">
        <f>OFFSET(AH42,0,-1)+1</f>
        <v>3</v>
      </c>
      <c r="AI42" s="2273">
        <f>OFFSET(AI42,0,-1)+1</f>
        <v>4</v>
      </c>
      <c r="AJ42" s="2273"/>
      <c r="AK42" s="1957">
        <f>OFFSET(AK42,0,-2)+1</f>
        <v>5</v>
      </c>
      <c r="AL42" s="1246">
        <f>OFFSET(AL42,0,-1)</f>
        <v>5</v>
      </c>
      <c r="AM42" s="1957">
        <f>OFFSET(AM42,0,-1)+1</f>
        <v>6</v>
      </c>
      <c r="AN42" s="1637"/>
      <c r="AO42" s="1637"/>
      <c r="AP42" s="1637"/>
      <c r="AQ42" s="1637"/>
      <c r="AR42" s="1637"/>
      <c r="AS42" s="1642">
        <v>0</v>
      </c>
    </row>
    <row customHeight="1" ht="22.049999999999997">
      <c r="A43" s="1268" t="s">
        <v>229</v>
      </c>
      <c r="B43" s="1268"/>
      <c r="C43" s="1268"/>
      <c r="D43" s="1268"/>
      <c r="E43" s="2290">
        <v>1</v>
      </c>
      <c r="F43" s="1268"/>
      <c r="G43" s="1268"/>
      <c r="H43" s="1268"/>
      <c r="I43" s="1268"/>
      <c r="J43" s="1268"/>
      <c r="K43" s="1268"/>
      <c r="L43" s="1311"/>
      <c r="M43" s="1611"/>
      <c r="N43" s="1611"/>
      <c r="O43" s="1611"/>
      <c r="P43" s="1591"/>
      <c r="Q43" s="361"/>
      <c r="R43" s="356"/>
      <c r="S43" s="1959">
        <f>INDEX(PT_DIFFERENTIATION_NUM_NTAR,MATCH(A43,PT_DIFFERENTIATION_NTAR_ID,0))</f>
        <v>0</v>
      </c>
      <c r="T43" s="1526" t="s">
        <v>131</v>
      </c>
      <c r="U43" s="301"/>
      <c r="V43" s="2243"/>
      <c r="W43" s="2244"/>
      <c r="X43" s="2244"/>
      <c r="Y43" s="2244"/>
      <c r="Z43" s="2244"/>
      <c r="AA43" s="2244"/>
      <c r="AB43" s="2244"/>
      <c r="AC43" s="2245"/>
      <c r="AD43" s="2243" t="str">
        <f>INDEX(PT_DIFFERENTIATION_NTAR,MATCH(A43,PT_DIFFERENTIATION_NTAR_ID,0))</f>
        <v/>
      </c>
      <c r="AE43" s="2244"/>
      <c r="AF43" s="2244"/>
      <c r="AG43" s="2244"/>
      <c r="AH43" s="2244"/>
      <c r="AI43" s="2244"/>
      <c r="AJ43" s="2244"/>
      <c r="AK43" s="2244"/>
      <c r="AL43" s="2245"/>
      <c r="AM43" s="1259" t="str">
        <f>IF(TEMPLATE_GROUP="P","По данной форме раскрывается в том числе информация об индикативном предельном уровне цены на тепловую энергию (мощность), который определен в соответствии с Правилами определения в ценовых зонах теплоснабжения предельного уровня "&amp;"цены на тепловую энергию (мощность), включая правила индексации предельного уровня цены на тепловую энергию (мощность), "&amp;"утвержденными постановлением Правительства Российской Федерации от 15 декабря 2017 г. N 1562 (далее - Правила), о графике поэтапного равномерного доведения предельного уровня цены на тепловую энергию (мощность) до уровня, "&amp;"определяемого в соответствии с указанными "&amp;"Правилами, а также информация о тарифах на товары (услуги) в сфере теплоснабжения в случаях, указанных частях 12 1 - 12 4 статьи 10 Федерального закона от 27 июля 2010 г. N 190-ФЗ ""О теплоснабжении"", "&amp;"теплоснабжающей организации, теплосетевой организации в ценовых зонах теплоснабжения. Для каждого вида тарифа в сфере теплоснабжения форма заполняется отдельно."&amp;"
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"&amp;"об установлении цены (тарифа), источник официального опубликования решения об установлении цены (тарифа) в сфере теплоснабжения.","Для каждого вида тарифа в сфере теплоснабжения форма заполняется отдельно.
"&amp;"В соответствии с данной формой раскрывается информация о расчетной величине тарифов в сфере теплоснабжения на товары (услуги) в случаях, указанных в частях 12 1 - 12 4 статьи 10 Федерального закона от 27 июля 2010 г. N 190-ФЗ ""О теплоснабжении"". "&amp;"Указывается наименование тарифа в случае "&amp;IF(TEMPLATE_GROUP="P","утверждения","предложения")&amp;" нескольких тарифов.
В случае наличия нескольких тарифов информация по ним указывается в отдельных строках.")</f>
        <v>Для каждого вида тарифа в сфере теплоснабжения форма заполняется отдельно.
В соответствии с данной формой раскрывается информация о расчетной величине тарифов в сфере теплоснабжения на товары (услуги) в случаях, указанных в частях 12 1 - 12 4 статьи 10 Федерального закона от 27 июля 2010 г. N 190-ФЗ "О теплоснабжении". Указывается наименование тарифа в случае предложения нескольких тарифов.
В случае наличия нескольких тарифов информация по ним указывается в отдельных строках.</v>
      </c>
      <c r="AO43" s="1625"/>
      <c r="AP43" s="1625" t="str">
        <f>IF(T43="","",T43)</f>
        <v>Наименование тарифа</v>
      </c>
      <c r="AQ43" s="1625"/>
      <c r="AR43" s="1625"/>
      <c r="AS43" s="1632">
        <v>21</v>
      </c>
    </row>
    <row customHeight="1" ht="22.049999999999997">
      <c r="A44" s="1268" t="s">
        <v>229</v>
      </c>
      <c r="B44" s="1268" t="s">
        <v>230</v>
      </c>
      <c r="C44" s="1268"/>
      <c r="D44" s="1268"/>
      <c r="E44" s="2291"/>
      <c r="F44" s="2290">
        <v>1</v>
      </c>
      <c r="G44" s="1268"/>
      <c r="H44" s="1268"/>
      <c r="I44" s="1268"/>
      <c r="J44" s="1268"/>
      <c r="K44" s="1268"/>
      <c r="L44" s="1311"/>
      <c r="M44" s="1611"/>
      <c r="N44" s="1611"/>
      <c r="O44" s="1611"/>
      <c r="P44" s="1941"/>
      <c r="Q44" s="353"/>
      <c r="R44" s="354"/>
      <c r="S44" s="1959" t="str">
        <f>INDEX(PT_DIFFERENTIATION_NUM_TER,MATCH(B44,PT_DIFFERENTIATION_TER_ID,0))</f>
        <v>.</v>
      </c>
      <c r="T44" s="1523" t="s">
        <v>414</v>
      </c>
      <c r="U44" s="301"/>
      <c r="V44" s="2243"/>
      <c r="W44" s="2244"/>
      <c r="X44" s="2244"/>
      <c r="Y44" s="2244"/>
      <c r="Z44" s="2244"/>
      <c r="AA44" s="2244"/>
      <c r="AB44" s="2244"/>
      <c r="AC44" s="2245"/>
      <c r="AD44" s="2243" t="str">
        <f>INDEX(PT_DIFFERENTIATION_TER,MATCH(B44,PT_DIFFERENTIATION_TER_ID,0))</f>
        <v/>
      </c>
      <c r="AE44" s="2244"/>
      <c r="AF44" s="2244"/>
      <c r="AG44" s="2244"/>
      <c r="AH44" s="2244"/>
      <c r="AI44" s="2244"/>
      <c r="AJ44" s="2244"/>
      <c r="AK44" s="2244"/>
      <c r="AL44" s="2245"/>
      <c r="AM44" s="1259" t="s">
        <v>415</v>
      </c>
      <c r="AO44" s="1625"/>
      <c r="AP44" s="1625" t="str">
        <f>IF(T44="","",T44)</f>
        <v>Территория действия тарифа</v>
      </c>
      <c r="AQ44" s="1625"/>
      <c r="AR44" s="1625"/>
      <c r="AS44" s="1632">
        <v>21</v>
      </c>
    </row>
    <row customHeight="1" ht="24">
      <c r="A45" s="1268" t="s">
        <v>229</v>
      </c>
      <c r="B45" s="1268" t="s">
        <v>230</v>
      </c>
      <c r="C45" s="1268" t="s">
        <v>231</v>
      </c>
      <c r="D45" s="1268"/>
      <c r="E45" s="2291"/>
      <c r="F45" s="2291"/>
      <c r="G45" s="2290">
        <v>1</v>
      </c>
      <c r="H45" s="1268"/>
      <c r="I45" s="1268"/>
      <c r="J45" s="1268"/>
      <c r="K45" s="1268"/>
      <c r="L45" s="1311"/>
      <c r="M45" s="1611"/>
      <c r="N45" s="1611"/>
      <c r="O45" s="1611"/>
      <c r="P45" s="355"/>
      <c r="Q45" s="353"/>
      <c r="R45" s="354"/>
      <c r="S45" s="1959" t="str">
        <f>INDEX(PT_DIFFERENTIATION_NUM_CS,MATCH(C45,PT_DIFFERENTIATION_CS_ID,0))</f>
        <v>..</v>
      </c>
      <c r="T45" s="310" t="s">
        <v>416</v>
      </c>
      <c r="U45" s="301"/>
      <c r="V45" s="2243"/>
      <c r="W45" s="2244"/>
      <c r="X45" s="2244"/>
      <c r="Y45" s="2244"/>
      <c r="Z45" s="2244"/>
      <c r="AA45" s="2244"/>
      <c r="AB45" s="2244"/>
      <c r="AC45" s="2245"/>
      <c r="AD45" s="2243" t="str">
        <f>INDEX(PT_DIFFERENTIATION_CS,MATCH(C45,PT_DIFFERENTIATION_CS_ID,0))</f>
        <v/>
      </c>
      <c r="AE45" s="2244"/>
      <c r="AF45" s="2244"/>
      <c r="AG45" s="2244"/>
      <c r="AH45" s="2244"/>
      <c r="AI45" s="2244"/>
      <c r="AJ45" s="2244"/>
      <c r="AK45" s="2244"/>
      <c r="AL45" s="2245"/>
      <c r="AM45" s="1259" t="s">
        <v>417</v>
      </c>
      <c r="AO45" s="1625"/>
      <c r="AP45" s="1625" t="str">
        <f>IF(T45="","",T45)</f>
        <v>Наименование системы теплоснабжения </v>
      </c>
      <c r="AQ45" s="1625"/>
      <c r="AR45" s="1625"/>
      <c r="AS45" s="1632">
        <v>23</v>
      </c>
    </row>
    <row customHeight="1" ht="22.049999999999997">
      <c r="A46" s="1268" t="s">
        <v>229</v>
      </c>
      <c r="B46" s="1268" t="s">
        <v>230</v>
      </c>
      <c r="C46" s="1268" t="s">
        <v>231</v>
      </c>
      <c r="D46" s="1268" t="s">
        <v>232</v>
      </c>
      <c r="E46" s="2291"/>
      <c r="F46" s="2291"/>
      <c r="G46" s="2291"/>
      <c r="H46" s="2290">
        <v>1</v>
      </c>
      <c r="I46" s="1268"/>
      <c r="J46" s="1268"/>
      <c r="K46" s="1268"/>
      <c r="L46" s="1311"/>
      <c r="M46" s="1611"/>
      <c r="N46" s="1611"/>
      <c r="O46" s="1611"/>
      <c r="P46" s="355"/>
      <c r="Q46" s="353"/>
      <c r="R46" s="354"/>
      <c r="S46" s="1959" t="str">
        <f>INDEX(PT_DIFFERENTIATION_NUM_IST_TE,MATCH(D46,PT_DIFFERENTIATION_IST_TE_ID,0))</f>
        <v>...</v>
      </c>
      <c r="T46" s="311" t="s">
        <v>418</v>
      </c>
      <c r="U46" s="301"/>
      <c r="V46" s="2243"/>
      <c r="W46" s="2244"/>
      <c r="X46" s="2244"/>
      <c r="Y46" s="2244"/>
      <c r="Z46" s="2244"/>
      <c r="AA46" s="2244"/>
      <c r="AB46" s="2244"/>
      <c r="AC46" s="2245"/>
      <c r="AD46" s="2243" t="str">
        <f>INDEX(PT_DIFFERENTIATION_IST_TE,MATCH(D46,PT_DIFFERENTIATION_IST_TE_ID,0))</f>
        <v/>
      </c>
      <c r="AE46" s="2244"/>
      <c r="AF46" s="2244"/>
      <c r="AG46" s="2244"/>
      <c r="AH46" s="2244"/>
      <c r="AI46" s="2244"/>
      <c r="AJ46" s="2244"/>
      <c r="AK46" s="2244"/>
      <c r="AL46" s="2245"/>
      <c r="AM46" s="1259" t="s">
        <v>419</v>
      </c>
      <c r="AO46" s="1625"/>
      <c r="AP46" s="1625" t="str">
        <f>IF(T46="","",T46)</f>
        <v>Источник тепловой энергии  </v>
      </c>
      <c r="AQ46" s="1625"/>
      <c r="AR46" s="1625"/>
      <c r="AS46" s="1632">
        <v>21</v>
      </c>
    </row>
    <row customHeight="1" ht="49.5">
      <c r="A47" s="1268" t="s">
        <v>229</v>
      </c>
      <c r="B47" s="1268" t="s">
        <v>230</v>
      </c>
      <c r="C47" s="1268" t="s">
        <v>231</v>
      </c>
      <c r="D47" s="1268" t="s">
        <v>232</v>
      </c>
      <c r="E47" s="2291"/>
      <c r="F47" s="2291"/>
      <c r="G47" s="2291"/>
      <c r="H47" s="2291"/>
      <c r="I47" s="2128" t="str">
        <f>S46&amp;".1"</f>
        <v>....1</v>
      </c>
      <c r="J47" s="1268"/>
      <c r="K47" s="1268"/>
      <c r="L47" s="1311" t="s">
        <v>420</v>
      </c>
      <c r="P47" s="2258">
        <v>1</v>
      </c>
      <c r="Q47" s="1955"/>
      <c r="R47" s="357"/>
      <c r="S47" s="1959" t="str">
        <f>$I47</f>
        <v>....1</v>
      </c>
      <c r="T47" s="286" t="s">
        <v>421</v>
      </c>
      <c r="U47" s="301"/>
      <c r="V47" s="2246"/>
      <c r="W47" s="2247"/>
      <c r="X47" s="2247"/>
      <c r="Y47" s="2247"/>
      <c r="Z47" s="2247"/>
      <c r="AA47" s="2247"/>
      <c r="AB47" s="2247"/>
      <c r="AC47" s="2248"/>
      <c r="AD47" s="2246"/>
      <c r="AE47" s="2247"/>
      <c r="AF47" s="2247"/>
      <c r="AG47" s="2247"/>
      <c r="AH47" s="2247"/>
      <c r="AI47" s="2247"/>
      <c r="AJ47" s="2247"/>
      <c r="AK47" s="2247"/>
      <c r="AL47" s="2248"/>
      <c r="AM47" s="1259" t="s">
        <v>422</v>
      </c>
      <c r="AO47" s="1625"/>
      <c r="AP47" s="1625" t="str">
        <f>IF(T47="","",T47)</f>
        <v>Схема подключения теплопотребляющей установки к коллектору источника тепловой энергии</v>
      </c>
      <c r="AQ47" s="1625"/>
      <c r="AR47" s="1625"/>
      <c r="AS47" s="1632">
        <v>47</v>
      </c>
    </row>
    <row customHeight="1" ht="22.049999999999997">
      <c r="A48" s="1268" t="s">
        <v>229</v>
      </c>
      <c r="B48" s="1268" t="s">
        <v>230</v>
      </c>
      <c r="C48" s="1268" t="s">
        <v>231</v>
      </c>
      <c r="D48" s="1268" t="s">
        <v>232</v>
      </c>
      <c r="E48" s="2291"/>
      <c r="F48" s="2291"/>
      <c r="G48" s="2291"/>
      <c r="H48" s="2291"/>
      <c r="I48" s="2102"/>
      <c r="J48" s="2128" t="str">
        <f>I47&amp;".1"</f>
        <v>....1.1</v>
      </c>
      <c r="K48" s="1268"/>
      <c r="L48" s="1311" t="s">
        <v>423</v>
      </c>
      <c r="P48" s="2258"/>
      <c r="Q48" s="2258">
        <v>1</v>
      </c>
      <c r="R48" s="358"/>
      <c r="S48" s="1959" t="str">
        <f>$J48</f>
        <v>....1.1</v>
      </c>
      <c r="T48" s="287" t="s">
        <v>424</v>
      </c>
      <c r="U48" s="301"/>
      <c r="V48" s="2246"/>
      <c r="W48" s="2247"/>
      <c r="X48" s="2247"/>
      <c r="Y48" s="2247"/>
      <c r="Z48" s="2247"/>
      <c r="AA48" s="2247"/>
      <c r="AB48" s="2247"/>
      <c r="AC48" s="2248"/>
      <c r="AD48" s="2246"/>
      <c r="AE48" s="2247"/>
      <c r="AF48" s="2247"/>
      <c r="AG48" s="2247"/>
      <c r="AH48" s="2247"/>
      <c r="AI48" s="2247"/>
      <c r="AJ48" s="2247"/>
      <c r="AK48" s="2247"/>
      <c r="AL48" s="2248"/>
      <c r="AM48" s="1259" t="s">
        <v>425</v>
      </c>
      <c r="AO48" s="1625"/>
      <c r="AP48" s="1625" t="str">
        <f>IF(T48="","",T48)</f>
        <v>Группа потребителей</v>
      </c>
      <c r="AQ48" s="1625"/>
      <c r="AR48" s="1625"/>
      <c r="AS48" s="1632">
        <v>21</v>
      </c>
    </row>
    <row customHeight="1" ht="22.049999999999997">
      <c r="A49" s="1268" t="s">
        <v>229</v>
      </c>
      <c r="B49" s="1268" t="s">
        <v>230</v>
      </c>
      <c r="C49" s="1268" t="s">
        <v>231</v>
      </c>
      <c r="D49" s="1268" t="s">
        <v>232</v>
      </c>
      <c r="E49" s="2291"/>
      <c r="F49" s="2291"/>
      <c r="G49" s="2291"/>
      <c r="H49" s="2291"/>
      <c r="I49" s="2102"/>
      <c r="J49" s="2102"/>
      <c r="K49" s="2128" t="str">
        <f>J48&amp;".1"</f>
        <v>....1.1.1</v>
      </c>
      <c r="L49" s="1311" t="s">
        <v>426</v>
      </c>
      <c r="P49" s="2258"/>
      <c r="Q49" s="2258"/>
      <c r="R49" s="358">
        <v>1</v>
      </c>
      <c r="S49" s="1959" t="str">
        <f>$K49</f>
        <v>....1.1.1</v>
      </c>
      <c r="T49" s="1348"/>
      <c r="U49" s="301"/>
      <c r="V49" s="752"/>
      <c r="W49" s="326"/>
      <c r="X49" s="752"/>
      <c r="Y49" s="1258"/>
      <c r="Z49" s="2266"/>
      <c r="AA49" s="2108" t="s">
        <v>61</v>
      </c>
      <c r="AB49" s="2266"/>
      <c r="AC49" s="2108" t="s">
        <v>61</v>
      </c>
      <c r="AD49" s="752"/>
      <c r="AE49" s="326"/>
      <c r="AF49" s="752"/>
      <c r="AG49" s="1258"/>
      <c r="AH49" s="2266"/>
      <c r="AI49" s="2108" t="s">
        <v>61</v>
      </c>
      <c r="AJ49" s="2288"/>
      <c r="AK49" s="2108" t="s">
        <v>61</v>
      </c>
      <c r="AL49" s="1349"/>
      <c r="AM49" s="2254" t="s">
        <v>427</v>
      </c>
      <c r="AN49" s="1637">
        <f>STRCHECKDATE(V50:AL50)</f>
      </c>
      <c r="AO49" s="1625"/>
      <c r="AP49" s="1625" t="str">
        <f>IF(T49="","",T49)</f>
        <v/>
      </c>
      <c r="AQ49" s="1625"/>
      <c r="AR49" s="1625"/>
      <c r="AS49" s="1632">
        <v>21</v>
      </c>
    </row>
    <row customHeight="1" ht="1.05">
      <c r="A50" s="1268" t="s">
        <v>229</v>
      </c>
      <c r="B50" s="1268" t="s">
        <v>230</v>
      </c>
      <c r="C50" s="1268" t="s">
        <v>231</v>
      </c>
      <c r="D50" s="1268" t="s">
        <v>232</v>
      </c>
      <c r="E50" s="2291"/>
      <c r="F50" s="2291"/>
      <c r="G50" s="2291"/>
      <c r="H50" s="2291"/>
      <c r="I50" s="2102"/>
      <c r="J50" s="2102"/>
      <c r="K50" s="2128"/>
      <c r="L50" s="1311"/>
      <c r="P50" s="2258"/>
      <c r="Q50" s="2258"/>
      <c r="R50" s="358"/>
      <c r="S50" s="1968"/>
      <c r="T50" s="301"/>
      <c r="U50" s="301"/>
      <c r="V50" s="326"/>
      <c r="W50" s="326"/>
      <c r="X50" s="326"/>
      <c r="Y50" s="329" t="str">
        <f>Z49&amp;"-"&amp;AB49</f>
        <v>-</v>
      </c>
      <c r="Z50" s="2267"/>
      <c r="AA50" s="2108"/>
      <c r="AB50" s="2267"/>
      <c r="AC50" s="2108"/>
      <c r="AD50" s="326"/>
      <c r="AE50" s="326"/>
      <c r="AF50" s="326"/>
      <c r="AG50" s="329" t="str">
        <f>AH49&amp;"-"&amp;AJ49</f>
        <v>-</v>
      </c>
      <c r="AH50" s="2267"/>
      <c r="AI50" s="2108"/>
      <c r="AJ50" s="2289"/>
      <c r="AK50" s="2108"/>
      <c r="AL50" s="1350"/>
      <c r="AM50" s="2255"/>
      <c r="AO50" s="1625"/>
      <c r="AP50" s="1625" t="str">
        <f>IF(T50="","",T50)</f>
        <v/>
      </c>
      <c r="AQ50" s="1625"/>
      <c r="AR50" s="1625"/>
      <c r="AS50" s="1632">
        <v>1</v>
      </c>
    </row>
    <row customHeight="1" ht="11.549999999999999">
      <c r="A51" s="1268" t="s">
        <v>229</v>
      </c>
      <c r="B51" s="1268" t="s">
        <v>230</v>
      </c>
      <c r="C51" s="1268" t="s">
        <v>231</v>
      </c>
      <c r="D51" s="1268" t="s">
        <v>232</v>
      </c>
      <c r="E51" s="2291"/>
      <c r="F51" s="2291"/>
      <c r="G51" s="2291"/>
      <c r="H51" s="2291"/>
      <c r="I51" s="2102"/>
      <c r="J51" s="2128"/>
      <c r="K51" s="1268"/>
      <c r="L51" s="1311"/>
      <c r="P51" s="2258"/>
      <c r="Q51" s="2258"/>
      <c r="R51" s="357"/>
      <c r="S51" s="1279"/>
      <c r="T51" s="289" t="s">
        <v>428</v>
      </c>
      <c r="U51" s="601"/>
      <c r="V51" s="601"/>
      <c r="W51" s="601"/>
      <c r="X51" s="601"/>
      <c r="Y51" s="601"/>
      <c r="Z51" s="601"/>
      <c r="AA51" s="601"/>
      <c r="AB51" s="601"/>
      <c r="AC51" s="601"/>
      <c r="AD51" s="601"/>
      <c r="AE51" s="601"/>
      <c r="AF51" s="601"/>
      <c r="AG51" s="601"/>
      <c r="AH51" s="601"/>
      <c r="AI51" s="601"/>
      <c r="AJ51" s="601"/>
      <c r="AK51" s="601"/>
      <c r="AL51" s="325"/>
      <c r="AM51" s="2256"/>
      <c r="AO51" s="1625"/>
      <c r="AP51" s="1625" t="str">
        <f>IF(T51="","",T51)</f>
        <v>Добавить вид теплоносителя (параметры теплоносителя)</v>
      </c>
      <c r="AQ51" s="1625"/>
      <c r="AR51" s="1625"/>
      <c r="AS51" s="1632">
        <v>11</v>
      </c>
    </row>
    <row customHeight="1" ht="11.549999999999999">
      <c r="A52" s="1268" t="s">
        <v>229</v>
      </c>
      <c r="B52" s="1268" t="s">
        <v>230</v>
      </c>
      <c r="C52" s="1268" t="s">
        <v>231</v>
      </c>
      <c r="D52" s="1268" t="s">
        <v>232</v>
      </c>
      <c r="E52" s="2291"/>
      <c r="F52" s="2291"/>
      <c r="G52" s="2291"/>
      <c r="H52" s="2291"/>
      <c r="I52" s="2128"/>
      <c r="J52" s="1268"/>
      <c r="K52" s="1268"/>
      <c r="L52" s="1311"/>
      <c r="P52" s="2258"/>
      <c r="Q52" s="1955"/>
      <c r="R52" s="357"/>
      <c r="S52" s="1279"/>
      <c r="T52" s="288" t="s">
        <v>429</v>
      </c>
      <c r="U52" s="601"/>
      <c r="V52" s="601"/>
      <c r="W52" s="601"/>
      <c r="X52" s="601"/>
      <c r="Y52" s="601"/>
      <c r="Z52" s="601"/>
      <c r="AA52" s="601"/>
      <c r="AB52" s="601"/>
      <c r="AC52" s="367"/>
      <c r="AD52" s="601"/>
      <c r="AE52" s="601"/>
      <c r="AF52" s="601"/>
      <c r="AG52" s="601"/>
      <c r="AH52" s="601"/>
      <c r="AI52" s="601"/>
      <c r="AJ52" s="601"/>
      <c r="AK52" s="367"/>
      <c r="AL52" s="601"/>
      <c r="AM52" s="304"/>
      <c r="AO52" s="1625"/>
      <c r="AP52" s="1625" t="str">
        <f>IF(T52="","",T52)</f>
        <v>Добавить группу потребителей</v>
      </c>
      <c r="AQ52" s="1625"/>
      <c r="AR52" s="1625"/>
      <c r="AS52" s="1632">
        <v>11</v>
      </c>
    </row>
    <row customHeight="1" ht="14.699999999999998">
      <c r="A53" s="1268" t="s">
        <v>229</v>
      </c>
      <c r="B53" s="1268" t="s">
        <v>230</v>
      </c>
      <c r="C53" s="1268" t="s">
        <v>231</v>
      </c>
      <c r="D53" s="1268" t="s">
        <v>232</v>
      </c>
      <c r="E53" s="2291"/>
      <c r="F53" s="2291"/>
      <c r="G53" s="2291"/>
      <c r="H53" s="2290"/>
      <c r="I53" s="1268"/>
      <c r="J53" s="1268"/>
      <c r="K53" s="1268"/>
      <c r="L53" s="1311"/>
      <c r="M53" s="1611"/>
      <c r="N53" s="1611"/>
      <c r="O53" s="1636"/>
      <c r="P53" s="361"/>
      <c r="Q53" s="376"/>
      <c r="R53" s="356"/>
      <c r="S53" s="1279"/>
      <c r="T53" s="366" t="s">
        <v>430</v>
      </c>
      <c r="U53" s="601"/>
      <c r="V53" s="601"/>
      <c r="W53" s="601"/>
      <c r="X53" s="601"/>
      <c r="Y53" s="601"/>
      <c r="Z53" s="601"/>
      <c r="AA53" s="601"/>
      <c r="AB53" s="601"/>
      <c r="AC53" s="367"/>
      <c r="AD53" s="601"/>
      <c r="AE53" s="601"/>
      <c r="AF53" s="601"/>
      <c r="AG53" s="601"/>
      <c r="AH53" s="601"/>
      <c r="AI53" s="601"/>
      <c r="AJ53" s="601"/>
      <c r="AK53" s="367"/>
      <c r="AL53" s="601"/>
      <c r="AM53" s="304"/>
      <c r="AO53" s="1625"/>
      <c r="AP53" s="1625" t="str">
        <f>IF(T53="","",T53)</f>
        <v>Добавить схему подключения</v>
      </c>
      <c r="AQ53" s="1625"/>
      <c r="AR53" s="1625"/>
      <c r="AS53" s="1632">
        <v>14</v>
      </c>
    </row>
    <row s="1643" customFormat="1" customHeight="1" ht="4.2">
      <c r="A54" s="1376" t="s">
        <v>229</v>
      </c>
      <c r="B54" s="1376" t="s">
        <v>230</v>
      </c>
      <c r="C54" s="1376" t="s">
        <v>231</v>
      </c>
      <c r="D54" s="1375"/>
      <c r="E54" s="2291"/>
      <c r="F54" s="2291"/>
      <c r="G54" s="2290"/>
      <c r="H54" s="1375"/>
      <c r="I54" s="1375"/>
      <c r="J54" s="1375"/>
      <c r="K54" s="1375"/>
      <c r="L54" s="1378"/>
      <c r="M54" s="1379"/>
      <c r="N54" s="1379"/>
      <c r="O54" s="352"/>
      <c r="P54" s="1317"/>
      <c r="Q54" s="1318"/>
      <c r="R54" s="1317"/>
      <c r="S54" s="1323"/>
      <c r="T54" s="1326" t="s">
        <v>176</v>
      </c>
      <c r="U54" s="1325"/>
      <c r="V54" s="1325"/>
      <c r="W54" s="1325"/>
      <c r="X54" s="1325"/>
      <c r="Y54" s="1325"/>
      <c r="Z54" s="1325"/>
      <c r="AA54" s="1325"/>
      <c r="AB54" s="1325"/>
      <c r="AC54" s="1325"/>
      <c r="AD54" s="1325"/>
      <c r="AE54" s="1325"/>
      <c r="AF54" s="1325"/>
      <c r="AG54" s="1325"/>
      <c r="AH54" s="1325"/>
      <c r="AI54" s="1325"/>
      <c r="AJ54" s="1325"/>
      <c r="AK54" s="1325"/>
      <c r="AL54" s="1325"/>
      <c r="AM54" s="1325"/>
      <c r="AO54" s="1252"/>
      <c r="AP54" s="1252" t="str">
        <f>IF(T54="","",T54)</f>
        <v>Добавить источник для дифференциации</v>
      </c>
      <c r="AQ54" s="1252"/>
      <c r="AR54" s="1252"/>
      <c r="AS54" s="1643">
        <v>4</v>
      </c>
    </row>
    <row s="1643" customFormat="1" customHeight="1" ht="4.2">
      <c r="A55" s="1376" t="s">
        <v>229</v>
      </c>
      <c r="B55" s="1376" t="s">
        <v>230</v>
      </c>
      <c r="C55" s="1375"/>
      <c r="D55" s="1375"/>
      <c r="E55" s="2291"/>
      <c r="F55" s="2290"/>
      <c r="G55" s="1375"/>
      <c r="H55" s="1375"/>
      <c r="I55" s="1375"/>
      <c r="J55" s="1375"/>
      <c r="K55" s="1375"/>
      <c r="L55" s="1378"/>
      <c r="M55" s="1380"/>
      <c r="N55" s="1380"/>
      <c r="O55" s="352"/>
      <c r="P55" s="1317"/>
      <c r="Q55" s="1318"/>
      <c r="R55" s="1317"/>
      <c r="S55" s="1323"/>
      <c r="T55" s="1326" t="s">
        <v>177</v>
      </c>
      <c r="U55" s="1325"/>
      <c r="V55" s="1325"/>
      <c r="W55" s="1325"/>
      <c r="X55" s="1325"/>
      <c r="Y55" s="1325"/>
      <c r="Z55" s="1325"/>
      <c r="AA55" s="1325"/>
      <c r="AB55" s="1325"/>
      <c r="AC55" s="1325"/>
      <c r="AD55" s="1325"/>
      <c r="AE55" s="1325"/>
      <c r="AF55" s="1325"/>
      <c r="AG55" s="1325"/>
      <c r="AH55" s="1325"/>
      <c r="AI55" s="1325"/>
      <c r="AJ55" s="1325"/>
      <c r="AK55" s="1325"/>
      <c r="AL55" s="1325"/>
      <c r="AM55" s="1325"/>
      <c r="AO55" s="1252"/>
      <c r="AP55" s="1252" t="str">
        <f>IF(T55="","",T55)</f>
        <v>Добавить централизованную систему для дифференциации</v>
      </c>
      <c r="AQ55" s="1252"/>
      <c r="AR55" s="1252"/>
      <c r="AS55" s="1643">
        <v>4</v>
      </c>
    </row>
    <row s="1643" customFormat="1" customHeight="1" ht="4.2">
      <c r="A56" s="1376" t="s">
        <v>229</v>
      </c>
      <c r="B56" s="1376"/>
      <c r="C56" s="1376"/>
      <c r="D56" s="1376"/>
      <c r="E56" s="2290"/>
      <c r="F56" s="1376"/>
      <c r="G56" s="1376"/>
      <c r="H56" s="1376"/>
      <c r="I56" s="1376"/>
      <c r="J56" s="1376"/>
      <c r="K56" s="1376"/>
      <c r="L56" s="1382"/>
      <c r="M56" s="1380"/>
      <c r="N56" s="1380"/>
      <c r="O56" s="352"/>
      <c r="P56" s="381"/>
      <c r="Q56" s="1345"/>
      <c r="R56" s="381"/>
      <c r="S56" s="1323"/>
      <c r="T56" s="1326" t="s">
        <v>178</v>
      </c>
      <c r="U56" s="1325"/>
      <c r="V56" s="1325"/>
      <c r="W56" s="1325"/>
      <c r="X56" s="1325"/>
      <c r="Y56" s="1325"/>
      <c r="Z56" s="1325"/>
      <c r="AA56" s="1325"/>
      <c r="AB56" s="1325"/>
      <c r="AC56" s="1325"/>
      <c r="AD56" s="1325"/>
      <c r="AE56" s="1325"/>
      <c r="AF56" s="1325"/>
      <c r="AG56" s="1325"/>
      <c r="AH56" s="1325"/>
      <c r="AI56" s="1325"/>
      <c r="AJ56" s="1325"/>
      <c r="AK56" s="1325"/>
      <c r="AL56" s="1325"/>
      <c r="AM56" s="1325"/>
      <c r="AO56" s="1625"/>
      <c r="AP56" s="1625" t="str">
        <f>IF(T56="","",T56)</f>
        <v>Добавить территорию для дифференциации</v>
      </c>
      <c r="AQ56" s="1625"/>
      <c r="AR56" s="1625"/>
      <c r="AS56" s="1637">
        <v>4</v>
      </c>
    </row>
    <row s="1643" customFormat="1" customHeight="1" ht="4.2">
      <c r="A57" s="1375"/>
      <c r="B57" s="1375"/>
      <c r="C57" s="1375"/>
      <c r="D57" s="1375"/>
      <c r="E57" s="1376"/>
      <c r="F57" s="1375"/>
      <c r="G57" s="1375"/>
      <c r="H57" s="1375"/>
      <c r="I57" s="1375"/>
      <c r="J57" s="1375"/>
      <c r="K57" s="1375"/>
      <c r="L57" s="1378"/>
      <c r="M57" s="1380"/>
      <c r="N57" s="1380"/>
      <c r="O57" s="352"/>
      <c r="P57" s="1317"/>
      <c r="Q57" s="1318"/>
      <c r="R57" s="1317"/>
      <c r="S57" s="1323"/>
      <c r="T57" s="1326" t="s">
        <v>184</v>
      </c>
      <c r="U57" s="1325"/>
      <c r="V57" s="1325"/>
      <c r="W57" s="1325"/>
      <c r="X57" s="1325"/>
      <c r="Y57" s="1325"/>
      <c r="Z57" s="1325"/>
      <c r="AA57" s="1325"/>
      <c r="AB57" s="1325"/>
      <c r="AC57" s="1325"/>
      <c r="AD57" s="1325"/>
      <c r="AE57" s="1325"/>
      <c r="AF57" s="1325"/>
      <c r="AG57" s="1325"/>
      <c r="AH57" s="1325"/>
      <c r="AI57" s="1325"/>
      <c r="AJ57" s="1325"/>
      <c r="AK57" s="1325"/>
      <c r="AL57" s="1325"/>
      <c r="AM57" s="1325"/>
      <c r="AO57" s="1252"/>
      <c r="AP57" s="1252" t="str">
        <f>IF(T57="","",T57)</f>
        <v>Добавить наименование тарифа</v>
      </c>
      <c r="AQ57" s="1252"/>
      <c r="AR57" s="1252"/>
      <c r="AS57" s="1643">
        <v>4</v>
      </c>
    </row>
    <row customHeight="1" ht="11.549999999999999">
      <c r="M58" s="1632"/>
      <c r="N58" s="1632"/>
      <c r="O58" s="1636"/>
      <c r="P58" s="1632"/>
      <c r="Q58" s="1632"/>
      <c r="R58" s="1632"/>
      <c r="S58" s="1632"/>
      <c r="AN58" s="1632"/>
      <c r="AO58" s="1632"/>
      <c r="AP58" s="1632"/>
      <c r="AQ58" s="1632"/>
      <c r="AR58" s="1632"/>
      <c r="AS58" s="1632">
        <v>11</v>
      </c>
    </row>
    <row customHeight="1" ht="28.5">
      <c r="O59" s="1636"/>
      <c r="S59" s="1254"/>
      <c r="T59" s="2286"/>
      <c r="U59" s="2286"/>
      <c r="V59" s="2286"/>
      <c r="W59" s="2286"/>
      <c r="X59" s="2286"/>
      <c r="Y59" s="2286"/>
      <c r="Z59" s="2286"/>
      <c r="AA59" s="2286"/>
      <c r="AB59" s="2286"/>
      <c r="AC59" s="2286"/>
      <c r="AD59" s="2286"/>
      <c r="AE59" s="2286"/>
      <c r="AF59" s="2286"/>
      <c r="AG59" s="2286"/>
      <c r="AH59" s="2286"/>
      <c r="AI59" s="2286"/>
      <c r="AJ59" s="2286"/>
      <c r="AK59" s="2286"/>
      <c r="AL59" s="2286"/>
      <c r="AM59" s="2286"/>
      <c r="AS59" s="1632">
        <v>27</v>
      </c>
    </row>
    <row customHeight="1" ht="65.25">
      <c r="O60" s="1636"/>
      <c r="T60" s="2286"/>
      <c r="U60" s="2286"/>
      <c r="V60" s="2286"/>
      <c r="W60" s="2286"/>
      <c r="X60" s="2286"/>
      <c r="Y60" s="2286"/>
      <c r="Z60" s="2286"/>
      <c r="AA60" s="2286"/>
      <c r="AB60" s="2286"/>
      <c r="AC60" s="2286"/>
      <c r="AD60" s="2286"/>
      <c r="AE60" s="2286"/>
      <c r="AF60" s="2286"/>
      <c r="AG60" s="2286"/>
      <c r="AH60" s="2286"/>
      <c r="AI60" s="2286"/>
      <c r="AJ60" s="2286"/>
      <c r="AK60" s="2286"/>
      <c r="AL60" s="2286"/>
      <c r="AM60" s="2286"/>
      <c r="AS60" s="1632">
        <v>62</v>
      </c>
    </row>
    <row customHeight="1" ht="14.699999999999998">
      <c r="O61" s="1636"/>
      <c r="AS61" s="1632">
        <v>14</v>
      </c>
    </row>
    <row customHeight="1" ht="18.75">
      <c r="O62" s="1636"/>
      <c r="S62" s="1254"/>
      <c r="T62" s="2286"/>
      <c r="U62" s="2286"/>
      <c r="V62" s="2286"/>
      <c r="W62" s="2286"/>
      <c r="X62" s="2286"/>
      <c r="Y62" s="2286"/>
      <c r="Z62" s="2286"/>
      <c r="AA62" s="2286"/>
      <c r="AB62" s="2286"/>
      <c r="AC62" s="2286"/>
      <c r="AD62" s="2286"/>
      <c r="AE62" s="2286"/>
      <c r="AF62" s="2286"/>
      <c r="AG62" s="2286"/>
      <c r="AH62" s="2286"/>
      <c r="AI62" s="2286"/>
      <c r="AJ62" s="2286"/>
      <c r="AK62" s="2286"/>
      <c r="AL62" s="2286"/>
      <c r="AM62" s="2286"/>
      <c r="AS62" s="1632">
        <v>18</v>
      </c>
    </row>
    <row customHeight="1" ht="18.75">
      <c r="O63" s="1636"/>
      <c r="T63" s="2286"/>
      <c r="U63" s="2286"/>
      <c r="V63" s="2286"/>
      <c r="W63" s="2286"/>
      <c r="X63" s="2286"/>
      <c r="Y63" s="2286"/>
      <c r="Z63" s="2286"/>
      <c r="AA63" s="2286"/>
      <c r="AB63" s="2286"/>
      <c r="AC63" s="2286"/>
      <c r="AD63" s="2286"/>
      <c r="AE63" s="2286"/>
      <c r="AF63" s="2286"/>
      <c r="AG63" s="2286"/>
      <c r="AH63" s="2286"/>
      <c r="AI63" s="2286"/>
      <c r="AJ63" s="2286"/>
      <c r="AK63" s="2286"/>
      <c r="AL63" s="2286"/>
      <c r="AM63" s="2286"/>
      <c r="AS63" s="1632">
        <v>18</v>
      </c>
    </row>
    <row customHeight="1" ht="29.25">
      <c r="O64" s="1636"/>
      <c r="S64" s="1254"/>
      <c r="T64" s="2286"/>
      <c r="U64" s="2286"/>
      <c r="V64" s="2286"/>
      <c r="W64" s="2286"/>
      <c r="X64" s="2286"/>
      <c r="Y64" s="2286"/>
      <c r="Z64" s="2286"/>
      <c r="AA64" s="2286"/>
      <c r="AB64" s="2286"/>
      <c r="AC64" s="2286"/>
      <c r="AD64" s="2286"/>
      <c r="AE64" s="2286"/>
      <c r="AF64" s="2286"/>
      <c r="AG64" s="2286"/>
      <c r="AH64" s="2286"/>
      <c r="AI64" s="2286"/>
      <c r="AJ64" s="2286"/>
      <c r="AK64" s="2286"/>
      <c r="AL64" s="2286"/>
      <c r="AM64" s="2286"/>
      <c r="AS64" s="1632">
        <v>28</v>
      </c>
    </row>
    <row customHeight="1" ht="22.5" hidden="1">
      <c r="A65" s="1632" t="s">
        <v>83</v>
      </c>
      <c r="B65" s="1632">
        <v>0</v>
      </c>
      <c r="C65" s="1632">
        <v>0</v>
      </c>
      <c r="D65" s="1632">
        <v>0</v>
      </c>
      <c r="E65" s="1632">
        <v>0</v>
      </c>
      <c r="F65" s="1632">
        <v>0</v>
      </c>
      <c r="G65" s="1632">
        <v>0</v>
      </c>
      <c r="H65" s="1632">
        <v>0</v>
      </c>
      <c r="I65" s="1632">
        <v>0</v>
      </c>
      <c r="J65" s="1632">
        <v>0</v>
      </c>
      <c r="K65" s="1632">
        <v>0</v>
      </c>
      <c r="L65" s="1940">
        <v>0</v>
      </c>
      <c r="M65" s="1966">
        <v>0</v>
      </c>
      <c r="N65" s="1966">
        <v>0</v>
      </c>
      <c r="O65" s="1966">
        <v>0</v>
      </c>
      <c r="P65" s="1966">
        <v>3</v>
      </c>
      <c r="Q65" s="345">
        <v>3</v>
      </c>
      <c r="R65" s="345">
        <v>3</v>
      </c>
      <c r="S65" s="582">
        <v>12</v>
      </c>
      <c r="T65" s="1632">
        <v>31</v>
      </c>
      <c r="U65" s="1632">
        <v>0</v>
      </c>
      <c r="V65" s="1632">
        <v>0</v>
      </c>
      <c r="W65" s="1632">
        <v>0</v>
      </c>
      <c r="X65" s="1632">
        <v>0</v>
      </c>
      <c r="Y65" s="1632">
        <v>0</v>
      </c>
      <c r="Z65" s="1632">
        <v>0</v>
      </c>
      <c r="AA65" s="1632">
        <v>0</v>
      </c>
      <c r="AB65" s="1632">
        <v>0</v>
      </c>
      <c r="AC65" s="1632">
        <v>0</v>
      </c>
      <c r="AD65" s="1632">
        <v>24</v>
      </c>
      <c r="AE65" s="1632">
        <v>0</v>
      </c>
      <c r="AF65" s="1632">
        <v>24</v>
      </c>
      <c r="AG65" s="1632">
        <v>24</v>
      </c>
      <c r="AH65" s="1632">
        <v>11</v>
      </c>
      <c r="AI65" s="1632">
        <v>3</v>
      </c>
      <c r="AJ65" s="1632">
        <v>11</v>
      </c>
      <c r="AK65" s="1632">
        <v>0</v>
      </c>
      <c r="AL65" s="1632">
        <v>4</v>
      </c>
      <c r="AM65" s="1632">
        <v>115</v>
      </c>
      <c r="AN65" s="1637">
        <v>10</v>
      </c>
      <c r="AO65" s="1637">
        <v>10</v>
      </c>
      <c r="AP65" s="1637">
        <v>10</v>
      </c>
      <c r="AQ65" s="1637">
        <v>10</v>
      </c>
      <c r="AR65" s="1637">
        <v>10</v>
      </c>
      <c r="AS65" s="1632">
        <v>23</v>
      </c>
    </row>
  </sheetData>
  <sheetProtection sort="0" autoFilter="0" insertRows="0" insertColumns="1" deleteRows="0" deleteColumns="0"/>
  <mergeCells count="112">
    <mergeCell ref="E2:E15"/>
    <mergeCell ref="V2:AC2"/>
    <mergeCell ref="AD2:AL2"/>
    <mergeCell ref="F3:F14"/>
    <mergeCell ref="V3:AC3"/>
    <mergeCell ref="AD3:AL3"/>
    <mergeCell ref="G4:G13"/>
    <mergeCell ref="V4:AC4"/>
    <mergeCell ref="AD4:AL4"/>
    <mergeCell ref="H5:H12"/>
    <mergeCell ref="V5:AC5"/>
    <mergeCell ref="AD5:AL5"/>
    <mergeCell ref="I6:I11"/>
    <mergeCell ref="P6:P11"/>
    <mergeCell ref="V6:AC6"/>
    <mergeCell ref="AD6:AL6"/>
    <mergeCell ref="J7:J10"/>
    <mergeCell ref="Q7:Q10"/>
    <mergeCell ref="V7:AC7"/>
    <mergeCell ref="AD7:AL7"/>
    <mergeCell ref="AK8:AK9"/>
    <mergeCell ref="AM8:AM10"/>
    <mergeCell ref="AH17:AH18"/>
    <mergeCell ref="AI17:AI18"/>
    <mergeCell ref="AJ17:AJ18"/>
    <mergeCell ref="AK17:AK18"/>
    <mergeCell ref="K8:K9"/>
    <mergeCell ref="Z8:Z9"/>
    <mergeCell ref="AA8:AA9"/>
    <mergeCell ref="AB8:AB9"/>
    <mergeCell ref="AC8:AC9"/>
    <mergeCell ref="AH8:AH9"/>
    <mergeCell ref="S26:AJ26"/>
    <mergeCell ref="S27:AJ27"/>
    <mergeCell ref="S29:T29"/>
    <mergeCell ref="V29:AB29"/>
    <mergeCell ref="AD29:AJ29"/>
    <mergeCell ref="S30:T30"/>
    <mergeCell ref="V30:AB30"/>
    <mergeCell ref="AD30:AJ30"/>
    <mergeCell ref="AI8:AI9"/>
    <mergeCell ref="AJ8:AJ9"/>
    <mergeCell ref="S34:T34"/>
    <mergeCell ref="V34:AB34"/>
    <mergeCell ref="AD34:AJ34"/>
    <mergeCell ref="S35:T35"/>
    <mergeCell ref="V35:AB35"/>
    <mergeCell ref="AD35:AJ35"/>
    <mergeCell ref="S31:T31"/>
    <mergeCell ref="V31:AB31"/>
    <mergeCell ref="AD31:AJ31"/>
    <mergeCell ref="S32:T32"/>
    <mergeCell ref="V32:AB32"/>
    <mergeCell ref="AD32:AJ32"/>
    <mergeCell ref="V37:AC37"/>
    <mergeCell ref="AD37:AK37"/>
    <mergeCell ref="S38:AL38"/>
    <mergeCell ref="AM38:AM41"/>
    <mergeCell ref="S39:S41"/>
    <mergeCell ref="T39:T41"/>
    <mergeCell ref="V39:AB39"/>
    <mergeCell ref="AC39:AC41"/>
    <mergeCell ref="AD39:AJ39"/>
    <mergeCell ref="AK39:AK41"/>
    <mergeCell ref="E43:E56"/>
    <mergeCell ref="V43:AC43"/>
    <mergeCell ref="AD43:AL43"/>
    <mergeCell ref="F44:F55"/>
    <mergeCell ref="V44:AC44"/>
    <mergeCell ref="AD44:AL44"/>
    <mergeCell ref="G45:G54"/>
    <mergeCell ref="AL39:AL41"/>
    <mergeCell ref="V40:V41"/>
    <mergeCell ref="W40:W41"/>
    <mergeCell ref="X40:Y40"/>
    <mergeCell ref="Z40:AB40"/>
    <mergeCell ref="AD40:AD41"/>
    <mergeCell ref="AE40:AE41"/>
    <mergeCell ref="AF40:AG40"/>
    <mergeCell ref="AH40:AJ40"/>
    <mergeCell ref="AA41:AB41"/>
    <mergeCell ref="H46:H53"/>
    <mergeCell ref="V46:AC46"/>
    <mergeCell ref="AD46:AL46"/>
    <mergeCell ref="I47:I52"/>
    <mergeCell ref="P47:P52"/>
    <mergeCell ref="V47:AC47"/>
    <mergeCell ref="AD47:AL47"/>
    <mergeCell ref="J48:J51"/>
    <mergeCell ref="AI41:AJ41"/>
    <mergeCell ref="AA42:AB42"/>
    <mergeCell ref="AI42:AJ42"/>
    <mergeCell ref="K49:K50"/>
    <mergeCell ref="Z49:Z50"/>
    <mergeCell ref="AA49:AA50"/>
    <mergeCell ref="AB49:AB50"/>
    <mergeCell ref="AC49:AC50"/>
    <mergeCell ref="AH49:AH50"/>
    <mergeCell ref="AI49:AI50"/>
    <mergeCell ref="V45:AC45"/>
    <mergeCell ref="AD45:AL45"/>
    <mergeCell ref="T63:AM63"/>
    <mergeCell ref="T64:AM64"/>
    <mergeCell ref="AJ49:AJ50"/>
    <mergeCell ref="AK49:AK50"/>
    <mergeCell ref="AM49:AM51"/>
    <mergeCell ref="T59:AM59"/>
    <mergeCell ref="T60:AM60"/>
    <mergeCell ref="T62:AM62"/>
    <mergeCell ref="Q48:Q51"/>
    <mergeCell ref="V48:AC48"/>
    <mergeCell ref="AD48:AL48"/>
  </mergeCells>
  <dataValidations count="8">
    <dataValidation allowBlank="1" promptTitle="checkPeriodRange" sqref="Y65586 Y131122 Y196658 Y262194 Y327730 Y393266 Y458802 Y524338 Y589874 Y655410 Y720946 Y786482 Y852018 Y917554 Y983090 Y9 AG65586 AG131122 AG196658 AG262194 AG327730 AG393266 AG458802 AG524338 AG589874 AG655410 AG720946 AG786482 AG852018 AG917554 AG983090 AG9 AG50 AG18 Y50"/>
    <dataValidation allowBlank="1" showInputMessage="1" showErrorMessage="1" prompt="Для выбора выполните двойной щелчок левой клавиши мыши по соответствующей ячейке." sqref="AA65585 AA131121 AA196657 AA262193 AA327729 AA393265 AA458801 AA524337 AA589873 AA655409 AA720945 AA786481 AA852017 AA917553 AA983089 AC131121 AC458801 AC196657 AC262193 AC327729 AC393265 AC524337 AC589873 AC655409 AC720945 AC786481 AC852017 AC917553 AC983089 AC65585 AI65585 AI131121 AI196657 AI262193 AI327729 AI393265 AI458801 AI524337 AI589873 AI655409 AI720945 AI786481 AI852017 AI917553 AI983089 AK327729 AK393265 AK49 AK524337 AK8 AK589873 AK655409 AK17 AK720945 AK786481 AK852017 AK917553 AK983089 AK65585 AK131121 AI49 AK458801 AI8 AC8 AA8 AI17 AK196657 AA49 AC49 AK262193"/>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5 Z131121 Z196657 Z262193 Z327729 Z393265 Z458801 Z524337 Z589873 Z655409 Z720945 Z786481 Z852017 Z917553 Z983089 AB65585 AB131121 AB196657 AB262193 AB327729 AB393265 AB458801 AB524337 AB589873 AB655409 AB720945 AB786481 AB852017 AB917553 AB983089 Z8 AH65585 AH131121 AH196657 AH262193 AH327729 AH393265 AH458801 AH524337 AH589873 AH655409 AH720945 AH786481 AH852017 AH917553 AH983089 AJ65585 AJ131121 AJ196657 AJ262193 AJ327729 AJ393265 AJ458801 AJ524337 AJ589873 AJ655409 AJ720945 AJ786481 AJ852017 AJ917553 AJ983089 AJ49 AH49 AH8 AJ8 AB8 AH17 AJ17 Z49 AB49"/>
    <dataValidation type="list" allowBlank="1" showInputMessage="1" showErrorMessage="1" errorTitle="Ошибка" error="Выберите значение из списка" sqref="T65585 T131121 T196657 T262193 T327729 T393265 T458801 T524337 T589873 T655409 T720945 T786481 T852017 T917553 T983089">
      <formula1>kind_of_heat_transfer</formula1>
    </dataValidation>
    <dataValidation type="textLength" operator="lessThanOrEqual" allowBlank="1" showInputMessage="1" showErrorMessage="1" errorTitle="Ошибка" error="Допускается ввод не более 900 символов!" sqref="AM65579:AM65586 AM131115:AM131122 AM196651:AM196658 AM262187:AM262194 AM327723:AM327730 AM393259:AM393266 AM458795:AM458802 AM524331:AM524338 AM589867:AM589874 AM655403:AM655410 AM720939:AM720946 AM786475:AM786482 AM852011:AM852018 AM917547:AM917554 AM983083:AM983090">
      <formula1>900</formula1>
    </dataValidation>
    <dataValidation type="list" allowBlank="1" showInputMessage="1" showErrorMessage="1" errorTitle="Ошибка" error="Выберите значение из списка" sqref="V983087:W983087 V65583:W65583 V131119:W131119 V196655:W196655 V262191:W262191 V327727:W327727 V393263:W393263 V458799:W458799 V524335:W524335 V589871:W589871 V655407:W655407 V720943:W720943 V786479:W786479 V852015:W852015 V917551:W917551 AD983087:AE983087 AD65583:AE65583 AD131119:AE131119 AD196655:AE196655 AD262191:AE262191 AD327727:AE327727 AD393263:AE393263 AD458799:AE458799 AD524335:AE524335 AD589871:AE589871 AD655407:AE655407 AD720943:AE720943 AD786479:AE786479 AD852015:AE852015 AD917551:AE917551">
      <formula1>kind_of_scheme_in</formula1>
    </dataValidation>
    <dataValidation allowBlank="1" sqref="S131123:AM131129 S196659:AM196665 S262195:AM262201 S327731:AM327737 S393267:AM393273 S458803:AM458809 S524339:AM524345 S589875:AM589881 S655411:AM655417 S720947:AM720953 S786483:AM786489 S852019:AM852025 S917555:AM917561 S983091:AM983097 S65587:AM65593"/>
    <dataValidation type="list" allowBlank="1" showInputMessage="1" errorTitle="Ошибка" error="Выберите значение из списка" prompt="Выберите значение из списка" sqref="V983088:AL983088 V65584:AL65584 V131120:AL131120 V196656:AL196656 V262192:AL262192 V327728:AL327728 V393264:AL393264 V458800:AL458800 V524336:AL524336 V589872:AL589872 V655408:AL655408 V720944:AL720944 V786480:AL786480 V852016:AL852016 V917552:AL917552">
      <formula1>kind_of_cons</formula1>
    </dataValidation>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92FF1F5B-A448-BBD9-1A48-5EFDC86F1D82}" mc:Ignorable="x14ac xr xr2 xr3">
  <sheetPr>
    <tabColor theme="6" tint="0.4"/>
  </sheetPr>
  <dimension ref="A1:AS65"/>
  <sheetViews>
    <sheetView showGridLines="0" zoomScale="90" workbookViewId="0">
      <pane xSplit="29" ySplit="42" topLeftCell="AD43" activePane="bottomRight" state="frozen"/>
      <selection pane="bottomLeft" activeCell="A43" sqref="A43"/>
      <selection pane="topRight" activeCell="AD1" sqref="AD1"/>
      <selection pane="bottomRight" activeCell="A1" sqref="A1"/>
    </sheetView>
  </sheetViews>
  <sheetFormatPr defaultColWidth="10.57421875" customHeight="1" defaultRowHeight="14.25"/>
  <cols>
    <col min="1" max="1" style="1636" width="10.57421875" hidden="1"/>
    <col min="2" max="2" style="1636" width="11.00390625" hidden="1" customWidth="1"/>
    <col min="3" max="3" style="1636" width="10.57421875" hidden="1"/>
    <col min="4" max="4" style="1636" width="11.8515625" hidden="1" customWidth="1"/>
    <col min="5" max="5" style="1636" width="10.00390625" hidden="1" customWidth="1"/>
    <col min="6" max="6" style="1636" width="8.7109375" hidden="1" customWidth="1"/>
    <col min="7" max="7" style="1636" width="7.57421875" hidden="1" customWidth="1"/>
    <col min="8" max="8" style="1636" width="11.421875" hidden="1" customWidth="1"/>
    <col min="9" max="9" style="1636" width="12.00390625" hidden="1" customWidth="1"/>
    <col min="10" max="10" style="1636" width="9.8515625" hidden="1" customWidth="1"/>
    <col min="11" max="11" style="1636" width="11.421875" hidden="1" customWidth="1"/>
    <col min="12" max="12" style="2126" width="19.140625" hidden="1" customWidth="1"/>
    <col min="13" max="14" style="2398" width="12.28125" hidden="1" customWidth="1"/>
    <col min="15" max="15" style="2398" width="23.421875" hidden="1" customWidth="1"/>
    <col min="16" max="16" style="2398" width="3.00390625" customWidth="1"/>
    <col min="17" max="18" style="345" width="3.00390625" customWidth="1"/>
    <col min="19" max="19" style="2408" width="12.00390625" customWidth="1"/>
    <col min="20" max="20" style="1636" width="31.00390625" customWidth="1"/>
    <col min="21" max="21" style="1636" width="0.140625" customWidth="1"/>
    <col min="22" max="22" style="1636" width="24.7109375" hidden="1" customWidth="1"/>
    <col min="23" max="23" style="1636" width="0.140625" hidden="1" customWidth="1"/>
    <col min="24" max="25" style="1636" width="24.7109375" hidden="1" customWidth="1"/>
    <col min="26" max="26" style="1636" width="11.7109375" hidden="1" customWidth="1"/>
    <col min="27" max="27" style="1636" width="3.7109375" hidden="1" customWidth="1"/>
    <col min="28" max="28" style="1636" width="11.7109375" hidden="1" customWidth="1"/>
    <col min="29" max="29" style="1636" width="8.57421875" hidden="1" customWidth="1"/>
    <col min="30" max="30" style="1636" width="24.7109375" customWidth="1"/>
    <col min="31" max="31" style="1636" width="0.140625" customWidth="1"/>
    <col min="32" max="33" style="1636" width="24.00390625" customWidth="1"/>
    <col min="34" max="34" style="1636" width="11.00390625" customWidth="1"/>
    <col min="35" max="35" style="1636" width="3.7109375" customWidth="1"/>
    <col min="36" max="36" style="1636" width="11.00390625" customWidth="1"/>
    <col min="37" max="37" style="1636" width="8.57421875" hidden="1" customWidth="1"/>
    <col min="38" max="38" style="1636" width="4.00390625" customWidth="1"/>
    <col min="39" max="39" style="1636" width="115.00390625" customWidth="1"/>
    <col min="40" max="44" style="1643" width="10.00390625" customWidth="1"/>
    <col min="45" max="45" style="1636" width="10.57421875" hidden="1"/>
  </cols>
  <sheetData>
    <row customHeight="1" ht="22.5" hidden="1">
      <c r="AS1" s="1632" t="s">
        <v>14</v>
      </c>
    </row>
    <row customHeight="1" ht="21" hidden="1">
      <c r="A2" s="1268"/>
      <c r="B2" s="1268"/>
      <c r="C2" s="1268"/>
      <c r="D2" s="1268"/>
      <c r="E2" s="2290">
        <v>1</v>
      </c>
      <c r="F2" s="1268"/>
      <c r="G2" s="1268"/>
      <c r="H2" s="1268"/>
      <c r="I2" s="1268"/>
      <c r="J2" s="1268"/>
      <c r="K2" s="1268"/>
      <c r="L2" s="1311"/>
      <c r="M2" s="1611"/>
      <c r="N2" s="1611"/>
      <c r="O2" s="1611"/>
      <c r="P2" s="1591"/>
      <c r="Q2" s="361"/>
      <c r="R2" s="356"/>
      <c r="S2" s="1959">
        <f>INDEX(PT_DIFFERENTIATION_NUM_NTAR,MATCH(A2,PT_DIFFERENTIATION_NTAR_ID,0))</f>
      </c>
      <c r="T2" s="1526" t="s">
        <v>131</v>
      </c>
      <c r="U2" s="301"/>
      <c r="V2" s="2243"/>
      <c r="W2" s="2244"/>
      <c r="X2" s="2244"/>
      <c r="Y2" s="2244"/>
      <c r="Z2" s="2244"/>
      <c r="AA2" s="2244"/>
      <c r="AB2" s="2244"/>
      <c r="AC2" s="2245"/>
      <c r="AD2" s="2243">
        <f>INDEX(PT_DIFFERENTIATION_NTAR,MATCH(A2,PT_DIFFERENTIATION_NTAR_ID,0))</f>
      </c>
      <c r="AE2" s="2244"/>
      <c r="AF2" s="2244"/>
      <c r="AG2" s="2244"/>
      <c r="AH2" s="2244"/>
      <c r="AI2" s="2244"/>
      <c r="AJ2" s="2244"/>
      <c r="AK2" s="2244"/>
      <c r="AL2" s="2245"/>
      <c r="AM2" s="1259" t="s">
        <v>413</v>
      </c>
      <c r="AO2" s="1625"/>
      <c r="AP2" s="1625" t="str">
        <f>IF(T2="","",T2)</f>
        <v>Наименование тарифа</v>
      </c>
      <c r="AQ2" s="1625"/>
      <c r="AR2" s="1625"/>
      <c r="AS2" s="1632">
        <v>0</v>
      </c>
    </row>
    <row customHeight="1" ht="21" hidden="1">
      <c r="A3" s="1268"/>
      <c r="B3" s="1268"/>
      <c r="C3" s="1268"/>
      <c r="D3" s="1268"/>
      <c r="E3" s="2291"/>
      <c r="F3" s="2290">
        <v>1</v>
      </c>
      <c r="G3" s="1268"/>
      <c r="H3" s="1268"/>
      <c r="I3" s="1268"/>
      <c r="J3" s="1268"/>
      <c r="K3" s="1268"/>
      <c r="L3" s="1311"/>
      <c r="M3" s="1611"/>
      <c r="N3" s="1611"/>
      <c r="O3" s="1611"/>
      <c r="P3" s="1941"/>
      <c r="Q3" s="353"/>
      <c r="R3" s="354"/>
      <c r="S3" s="1959">
        <f>INDEX(PT_DIFFERENTIATION_NUM_TER,MATCH(B3,PT_DIFFERENTIATION_TER_ID,0))</f>
      </c>
      <c r="T3" s="1523" t="s">
        <v>414</v>
      </c>
      <c r="U3" s="301"/>
      <c r="V3" s="2243"/>
      <c r="W3" s="2244"/>
      <c r="X3" s="2244"/>
      <c r="Y3" s="2244"/>
      <c r="Z3" s="2244"/>
      <c r="AA3" s="2244"/>
      <c r="AB3" s="2244"/>
      <c r="AC3" s="2245"/>
      <c r="AD3" s="2243">
        <f>INDEX(PT_DIFFERENTIATION_TER,MATCH(B3,PT_DIFFERENTIATION_TER_ID,0))</f>
      </c>
      <c r="AE3" s="2244"/>
      <c r="AF3" s="2244"/>
      <c r="AG3" s="2244"/>
      <c r="AH3" s="2244"/>
      <c r="AI3" s="2244"/>
      <c r="AJ3" s="2244"/>
      <c r="AK3" s="2244"/>
      <c r="AL3" s="2245"/>
      <c r="AM3" s="1259" t="s">
        <v>415</v>
      </c>
      <c r="AO3" s="1625"/>
      <c r="AP3" s="1625" t="str">
        <f>IF(T3="","",T3)</f>
        <v>Территория действия тарифа</v>
      </c>
      <c r="AQ3" s="1625"/>
      <c r="AR3" s="1625"/>
      <c r="AS3" s="1632">
        <v>0</v>
      </c>
    </row>
    <row customHeight="1" ht="23.25" hidden="1">
      <c r="A4" s="1268"/>
      <c r="B4" s="1268"/>
      <c r="C4" s="1268"/>
      <c r="D4" s="1268"/>
      <c r="E4" s="2291"/>
      <c r="F4" s="2291"/>
      <c r="G4" s="2290">
        <v>1</v>
      </c>
      <c r="H4" s="1268"/>
      <c r="I4" s="1268"/>
      <c r="J4" s="1268"/>
      <c r="K4" s="1268"/>
      <c r="L4" s="1311"/>
      <c r="M4" s="1611"/>
      <c r="N4" s="1611"/>
      <c r="O4" s="1611"/>
      <c r="P4" s="355"/>
      <c r="Q4" s="353"/>
      <c r="R4" s="354"/>
      <c r="S4" s="1959">
        <f>INDEX(PT_DIFFERENTIATION_NUM_CS,MATCH(C4,PT_DIFFERENTIATION_CS_ID,0))</f>
      </c>
      <c r="T4" s="310" t="s">
        <v>416</v>
      </c>
      <c r="U4" s="301"/>
      <c r="V4" s="2243"/>
      <c r="W4" s="2244"/>
      <c r="X4" s="2244"/>
      <c r="Y4" s="2244"/>
      <c r="Z4" s="2244"/>
      <c r="AA4" s="2244"/>
      <c r="AB4" s="2244"/>
      <c r="AC4" s="2245"/>
      <c r="AD4" s="2243">
        <f>INDEX(PT_DIFFERENTIATION_CS,MATCH(C4,PT_DIFFERENTIATION_CS_ID,0))</f>
      </c>
      <c r="AE4" s="2244"/>
      <c r="AF4" s="2244"/>
      <c r="AG4" s="2244"/>
      <c r="AH4" s="2244"/>
      <c r="AI4" s="2244"/>
      <c r="AJ4" s="2244"/>
      <c r="AK4" s="2244"/>
      <c r="AL4" s="2245"/>
      <c r="AM4" s="1259" t="s">
        <v>417</v>
      </c>
      <c r="AO4" s="1625"/>
      <c r="AP4" s="1625" t="str">
        <f>IF(T4="","",T4)</f>
        <v>Наименование системы теплоснабжения </v>
      </c>
      <c r="AQ4" s="1625"/>
      <c r="AR4" s="1625"/>
      <c r="AS4" s="1632">
        <v>0</v>
      </c>
    </row>
    <row customHeight="1" ht="21" hidden="1">
      <c r="A5" s="1268"/>
      <c r="B5" s="1268"/>
      <c r="C5" s="1268"/>
      <c r="D5" s="1268"/>
      <c r="E5" s="2291"/>
      <c r="F5" s="2291"/>
      <c r="G5" s="2291"/>
      <c r="H5" s="2290">
        <v>1</v>
      </c>
      <c r="I5" s="1268"/>
      <c r="J5" s="1268"/>
      <c r="K5" s="1268"/>
      <c r="L5" s="1311"/>
      <c r="M5" s="1611"/>
      <c r="N5" s="1611"/>
      <c r="O5" s="1611"/>
      <c r="P5" s="355"/>
      <c r="Q5" s="353"/>
      <c r="R5" s="354"/>
      <c r="S5" s="1959">
        <f>INDEX(PT_DIFFERENTIATION_NUM_IST_TE,MATCH(D5,PT_DIFFERENTIATION_IST_TE_ID,0))</f>
      </c>
      <c r="T5" s="311" t="s">
        <v>418</v>
      </c>
      <c r="U5" s="301"/>
      <c r="V5" s="2243"/>
      <c r="W5" s="2244"/>
      <c r="X5" s="2244"/>
      <c r="Y5" s="2244"/>
      <c r="Z5" s="2244"/>
      <c r="AA5" s="2244"/>
      <c r="AB5" s="2244"/>
      <c r="AC5" s="2245"/>
      <c r="AD5" s="2243">
        <f>INDEX(PT_DIFFERENTIATION_IST_TE,MATCH(D5,PT_DIFFERENTIATION_IST_TE_ID,0))</f>
      </c>
      <c r="AE5" s="2244"/>
      <c r="AF5" s="2244"/>
      <c r="AG5" s="2244"/>
      <c r="AH5" s="2244"/>
      <c r="AI5" s="2244"/>
      <c r="AJ5" s="2244"/>
      <c r="AK5" s="2244"/>
      <c r="AL5" s="2245"/>
      <c r="AM5" s="1259" t="s">
        <v>419</v>
      </c>
      <c r="AO5" s="1625"/>
      <c r="AP5" s="1625" t="str">
        <f>IF(T5="","",T5)</f>
        <v>Источник тепловой энергии  </v>
      </c>
      <c r="AQ5" s="1625"/>
      <c r="AR5" s="1625"/>
      <c r="AS5" s="1632">
        <v>0</v>
      </c>
    </row>
    <row customHeight="1" ht="47.25" hidden="1">
      <c r="A6" s="1268"/>
      <c r="B6" s="1268"/>
      <c r="C6" s="1268"/>
      <c r="D6" s="1268"/>
      <c r="E6" s="2291"/>
      <c r="F6" s="2291"/>
      <c r="G6" s="2291"/>
      <c r="H6" s="2291"/>
      <c r="I6" s="2128">
        <f>S5&amp;".1"</f>
      </c>
      <c r="J6" s="1268"/>
      <c r="K6" s="1268"/>
      <c r="L6" s="1311" t="s">
        <v>420</v>
      </c>
      <c r="M6" s="1636"/>
      <c r="P6" s="2258">
        <v>1</v>
      </c>
      <c r="Q6" s="1955"/>
      <c r="R6" s="357"/>
      <c r="S6" s="1959">
        <f>$I6</f>
      </c>
      <c r="T6" s="286" t="s">
        <v>421</v>
      </c>
      <c r="U6" s="301"/>
      <c r="V6" s="2246"/>
      <c r="W6" s="2247"/>
      <c r="X6" s="2247"/>
      <c r="Y6" s="2247"/>
      <c r="Z6" s="2247"/>
      <c r="AA6" s="2247"/>
      <c r="AB6" s="2247"/>
      <c r="AC6" s="2248"/>
      <c r="AD6" s="2246"/>
      <c r="AE6" s="2247"/>
      <c r="AF6" s="2247"/>
      <c r="AG6" s="2247"/>
      <c r="AH6" s="2247"/>
      <c r="AI6" s="2247"/>
      <c r="AJ6" s="2247"/>
      <c r="AK6" s="2247"/>
      <c r="AL6" s="2248"/>
      <c r="AM6" s="1259" t="s">
        <v>422</v>
      </c>
      <c r="AO6" s="1625"/>
      <c r="AP6" s="1625" t="str">
        <f>IF(T6="","",T6)</f>
        <v>Схема подключения теплопотребляющей установки к коллектору источника тепловой энергии</v>
      </c>
      <c r="AQ6" s="1625"/>
      <c r="AR6" s="1625"/>
      <c r="AS6" s="1632">
        <v>0</v>
      </c>
    </row>
    <row customHeight="1" ht="21" hidden="1">
      <c r="A7" s="1268"/>
      <c r="B7" s="1268"/>
      <c r="C7" s="1268"/>
      <c r="D7" s="1268"/>
      <c r="E7" s="2291"/>
      <c r="F7" s="2291"/>
      <c r="G7" s="2291"/>
      <c r="H7" s="2291"/>
      <c r="I7" s="2102"/>
      <c r="J7" s="2128">
        <f>I6&amp;".1"</f>
      </c>
      <c r="K7" s="1268"/>
      <c r="L7" s="1311" t="s">
        <v>423</v>
      </c>
      <c r="M7" s="1636"/>
      <c r="N7" s="1632"/>
      <c r="P7" s="2258"/>
      <c r="Q7" s="2258">
        <v>1</v>
      </c>
      <c r="R7" s="358"/>
      <c r="S7" s="1959">
        <f>$J7</f>
      </c>
      <c r="T7" s="287" t="s">
        <v>424</v>
      </c>
      <c r="U7" s="301"/>
      <c r="V7" s="2246"/>
      <c r="W7" s="2247"/>
      <c r="X7" s="2247"/>
      <c r="Y7" s="2247"/>
      <c r="Z7" s="2247"/>
      <c r="AA7" s="2247"/>
      <c r="AB7" s="2247"/>
      <c r="AC7" s="2248"/>
      <c r="AD7" s="2246"/>
      <c r="AE7" s="2247"/>
      <c r="AF7" s="2247"/>
      <c r="AG7" s="2247"/>
      <c r="AH7" s="2247"/>
      <c r="AI7" s="2247"/>
      <c r="AJ7" s="2247"/>
      <c r="AK7" s="2247"/>
      <c r="AL7" s="2248"/>
      <c r="AM7" s="1259" t="s">
        <v>425</v>
      </c>
      <c r="AO7" s="1625"/>
      <c r="AP7" s="1625" t="str">
        <f>IF(T7="","",T7)</f>
        <v>Группа потребителей</v>
      </c>
      <c r="AQ7" s="1625"/>
      <c r="AR7" s="1625"/>
      <c r="AS7" s="1632">
        <v>0</v>
      </c>
    </row>
    <row customHeight="1" ht="21" hidden="1">
      <c r="A8" s="1268"/>
      <c r="B8" s="1268"/>
      <c r="C8" s="1268"/>
      <c r="D8" s="1268"/>
      <c r="E8" s="2291"/>
      <c r="F8" s="2291"/>
      <c r="G8" s="2291"/>
      <c r="H8" s="2291"/>
      <c r="I8" s="2102"/>
      <c r="J8" s="2102"/>
      <c r="K8" s="2128">
        <f>J7&amp;".1"</f>
      </c>
      <c r="L8" s="1311" t="s">
        <v>426</v>
      </c>
      <c r="M8" s="1636"/>
      <c r="N8" s="1632"/>
      <c r="O8" s="1632"/>
      <c r="P8" s="2258"/>
      <c r="Q8" s="2258"/>
      <c r="R8" s="358">
        <v>1</v>
      </c>
      <c r="S8" s="1959">
        <f>$K8</f>
      </c>
      <c r="T8" s="1348"/>
      <c r="U8" s="301"/>
      <c r="V8" s="752"/>
      <c r="W8" s="326"/>
      <c r="X8" s="752"/>
      <c r="Y8" s="1258"/>
      <c r="Z8" s="2266"/>
      <c r="AA8" s="2108" t="s">
        <v>61</v>
      </c>
      <c r="AB8" s="2266"/>
      <c r="AC8" s="2108" t="s">
        <v>61</v>
      </c>
      <c r="AD8" s="752"/>
      <c r="AE8" s="326"/>
      <c r="AF8" s="752"/>
      <c r="AG8" s="1258"/>
      <c r="AH8" s="2266"/>
      <c r="AI8" s="2108" t="s">
        <v>61</v>
      </c>
      <c r="AJ8" s="2266"/>
      <c r="AK8" s="2108" t="s">
        <v>61</v>
      </c>
      <c r="AL8" s="326"/>
      <c r="AM8" s="2254" t="s">
        <v>427</v>
      </c>
      <c r="AN8" s="1637">
        <f>STRCHECKDATE(V9:AL9)</f>
      </c>
      <c r="AO8" s="1625"/>
      <c r="AP8" s="1625" t="str">
        <f>IF(T8="","",T8)</f>
        <v/>
      </c>
      <c r="AQ8" s="1625"/>
      <c r="AR8" s="1625"/>
      <c r="AS8" s="1632">
        <v>0</v>
      </c>
    </row>
    <row customHeight="1" ht="0.75" hidden="1">
      <c r="A9" s="1268"/>
      <c r="B9" s="1268"/>
      <c r="C9" s="1268"/>
      <c r="D9" s="1268"/>
      <c r="E9" s="2291"/>
      <c r="F9" s="2291"/>
      <c r="G9" s="2291"/>
      <c r="H9" s="2291"/>
      <c r="I9" s="2102"/>
      <c r="J9" s="2102"/>
      <c r="K9" s="2128"/>
      <c r="L9" s="1311"/>
      <c r="M9" s="1636"/>
      <c r="N9" s="1632"/>
      <c r="O9" s="1632"/>
      <c r="P9" s="2258"/>
      <c r="Q9" s="2258"/>
      <c r="R9" s="358"/>
      <c r="S9" s="1968"/>
      <c r="T9" s="301"/>
      <c r="U9" s="301"/>
      <c r="V9" s="326"/>
      <c r="W9" s="326"/>
      <c r="X9" s="326"/>
      <c r="Y9" s="329" t="str">
        <f>Z8&amp;"-"&amp;AB8</f>
        <v>-</v>
      </c>
      <c r="Z9" s="2267"/>
      <c r="AA9" s="2108"/>
      <c r="AB9" s="2267"/>
      <c r="AC9" s="2108"/>
      <c r="AD9" s="326"/>
      <c r="AE9" s="326"/>
      <c r="AF9" s="326"/>
      <c r="AG9" s="329" t="str">
        <f>AH8&amp;"-"&amp;AJ8</f>
        <v>-</v>
      </c>
      <c r="AH9" s="2267"/>
      <c r="AI9" s="2108"/>
      <c r="AJ9" s="2267"/>
      <c r="AK9" s="2108"/>
      <c r="AL9" s="326"/>
      <c r="AM9" s="2255"/>
      <c r="AO9" s="1625"/>
      <c r="AP9" s="1625" t="str">
        <f>IF(T9="","",T9)</f>
        <v/>
      </c>
      <c r="AQ9" s="1625"/>
      <c r="AR9" s="1625"/>
      <c r="AS9" s="1632">
        <v>0</v>
      </c>
    </row>
    <row customHeight="1" ht="15" hidden="1">
      <c r="A10" s="1268"/>
      <c r="B10" s="1268"/>
      <c r="C10" s="1268"/>
      <c r="D10" s="1268"/>
      <c r="E10" s="2291"/>
      <c r="F10" s="2291"/>
      <c r="G10" s="2291"/>
      <c r="H10" s="2291"/>
      <c r="I10" s="2102"/>
      <c r="J10" s="2128"/>
      <c r="K10" s="1268"/>
      <c r="L10" s="1311"/>
      <c r="M10" s="1636"/>
      <c r="N10" s="1632"/>
      <c r="P10" s="2258"/>
      <c r="Q10" s="2258"/>
      <c r="R10" s="357"/>
      <c r="S10" s="1279"/>
      <c r="T10" s="289" t="s">
        <v>428</v>
      </c>
      <c r="U10" s="601"/>
      <c r="V10" s="601"/>
      <c r="W10" s="601"/>
      <c r="X10" s="601"/>
      <c r="Y10" s="601"/>
      <c r="Z10" s="601"/>
      <c r="AA10" s="601"/>
      <c r="AB10" s="601"/>
      <c r="AC10" s="601"/>
      <c r="AD10" s="601"/>
      <c r="AE10" s="601"/>
      <c r="AF10" s="601"/>
      <c r="AG10" s="601"/>
      <c r="AH10" s="601"/>
      <c r="AI10" s="601"/>
      <c r="AJ10" s="601"/>
      <c r="AK10" s="601"/>
      <c r="AL10" s="325"/>
      <c r="AM10" s="2256"/>
      <c r="AO10" s="1625"/>
      <c r="AP10" s="1625" t="str">
        <f>IF(T10="","",T10)</f>
        <v>Добавить вид теплоносителя (параметры теплоносителя)</v>
      </c>
      <c r="AQ10" s="1625"/>
      <c r="AR10" s="1625"/>
      <c r="AS10" s="1632">
        <v>0</v>
      </c>
    </row>
    <row customHeight="1" ht="15" hidden="1">
      <c r="A11" s="1268"/>
      <c r="B11" s="1268"/>
      <c r="C11" s="1268"/>
      <c r="D11" s="1268"/>
      <c r="E11" s="2291"/>
      <c r="F11" s="2291"/>
      <c r="G11" s="2291"/>
      <c r="H11" s="2291"/>
      <c r="I11" s="2128"/>
      <c r="J11" s="1268"/>
      <c r="K11" s="1268"/>
      <c r="L11" s="1311"/>
      <c r="M11" s="1636"/>
      <c r="P11" s="2258"/>
      <c r="Q11" s="1955"/>
      <c r="R11" s="357"/>
      <c r="S11" s="1279"/>
      <c r="T11" s="288" t="s">
        <v>429</v>
      </c>
      <c r="U11" s="601"/>
      <c r="V11" s="601"/>
      <c r="W11" s="601"/>
      <c r="X11" s="601"/>
      <c r="Y11" s="601"/>
      <c r="Z11" s="601"/>
      <c r="AA11" s="601"/>
      <c r="AB11" s="601"/>
      <c r="AC11" s="367"/>
      <c r="AD11" s="601"/>
      <c r="AE11" s="601"/>
      <c r="AF11" s="601"/>
      <c r="AG11" s="601"/>
      <c r="AH11" s="601"/>
      <c r="AI11" s="601"/>
      <c r="AJ11" s="601"/>
      <c r="AK11" s="367"/>
      <c r="AL11" s="601"/>
      <c r="AM11" s="304"/>
      <c r="AO11" s="1625"/>
      <c r="AP11" s="1625" t="str">
        <f>IF(T11="","",T11)</f>
        <v>Добавить группу потребителей</v>
      </c>
      <c r="AQ11" s="1625"/>
      <c r="AR11" s="1625"/>
      <c r="AS11" s="1632">
        <v>0</v>
      </c>
    </row>
    <row customHeight="1" ht="14.25" hidden="1">
      <c r="A12" s="1268"/>
      <c r="B12" s="1268"/>
      <c r="C12" s="1268"/>
      <c r="D12" s="1268"/>
      <c r="E12" s="2291"/>
      <c r="F12" s="2291"/>
      <c r="G12" s="2291"/>
      <c r="H12" s="2290"/>
      <c r="I12" s="1268"/>
      <c r="J12" s="1268"/>
      <c r="K12" s="1268"/>
      <c r="L12" s="1311"/>
      <c r="M12" s="1611"/>
      <c r="N12" s="1611"/>
      <c r="O12" s="1636"/>
      <c r="P12" s="361"/>
      <c r="Q12" s="376"/>
      <c r="R12" s="356"/>
      <c r="S12" s="1279"/>
      <c r="T12" s="366" t="s">
        <v>430</v>
      </c>
      <c r="U12" s="601"/>
      <c r="V12" s="601"/>
      <c r="W12" s="601"/>
      <c r="X12" s="601"/>
      <c r="Y12" s="601"/>
      <c r="Z12" s="601"/>
      <c r="AA12" s="601"/>
      <c r="AB12" s="601"/>
      <c r="AC12" s="367"/>
      <c r="AD12" s="601"/>
      <c r="AE12" s="601"/>
      <c r="AF12" s="601"/>
      <c r="AG12" s="601"/>
      <c r="AH12" s="601"/>
      <c r="AI12" s="601"/>
      <c r="AJ12" s="601"/>
      <c r="AK12" s="367"/>
      <c r="AL12" s="601"/>
      <c r="AM12" s="304"/>
      <c r="AO12" s="1625"/>
      <c r="AP12" s="1625" t="str">
        <f>IF(T12="","",T12)</f>
        <v>Добавить схему подключения</v>
      </c>
      <c r="AQ12" s="1625"/>
      <c r="AR12" s="1625"/>
      <c r="AS12" s="1632">
        <v>0</v>
      </c>
    </row>
    <row s="1643" customFormat="1" customHeight="1" ht="0.75" hidden="1">
      <c r="A13" s="1975"/>
      <c r="B13" s="1975"/>
      <c r="C13" s="1975"/>
      <c r="D13" s="1975"/>
      <c r="E13" s="2291"/>
      <c r="F13" s="2291"/>
      <c r="G13" s="2290"/>
      <c r="H13" s="1975"/>
      <c r="I13" s="1975"/>
      <c r="J13" s="1975"/>
      <c r="K13" s="1975"/>
      <c r="L13" s="1381"/>
      <c r="M13" s="1611"/>
      <c r="N13" s="1611"/>
      <c r="O13" s="1636"/>
      <c r="P13" s="1317"/>
      <c r="Q13" s="1318"/>
      <c r="R13" s="1317"/>
      <c r="S13" s="1319"/>
      <c r="T13" s="1320" t="s">
        <v>176</v>
      </c>
      <c r="U13" s="1321"/>
      <c r="V13" s="1321"/>
      <c r="W13" s="1321"/>
      <c r="X13" s="1321"/>
      <c r="Y13" s="1321"/>
      <c r="Z13" s="1321"/>
      <c r="AA13" s="1321"/>
      <c r="AB13" s="1321"/>
      <c r="AC13" s="1321"/>
      <c r="AD13" s="1321"/>
      <c r="AE13" s="1321"/>
      <c r="AF13" s="1321"/>
      <c r="AG13" s="1321"/>
      <c r="AH13" s="1321"/>
      <c r="AI13" s="1321"/>
      <c r="AJ13" s="1321"/>
      <c r="AK13" s="1321"/>
      <c r="AL13" s="1321"/>
      <c r="AM13" s="1321"/>
      <c r="AO13" s="1252"/>
      <c r="AP13" s="1252" t="str">
        <f>IF(T13="","",T13)</f>
        <v>Добавить источник для дифференциации</v>
      </c>
      <c r="AQ13" s="1252"/>
      <c r="AR13" s="1252"/>
      <c r="AS13" s="1643">
        <v>0</v>
      </c>
    </row>
    <row s="1643" customFormat="1" customHeight="1" ht="0.75" hidden="1">
      <c r="A14" s="1975"/>
      <c r="B14" s="1975"/>
      <c r="C14" s="1975"/>
      <c r="D14" s="1975"/>
      <c r="E14" s="2291"/>
      <c r="F14" s="2290"/>
      <c r="G14" s="1975"/>
      <c r="H14" s="1975"/>
      <c r="I14" s="1975"/>
      <c r="J14" s="1975"/>
      <c r="K14" s="1975"/>
      <c r="L14" s="1381"/>
      <c r="M14" s="1976"/>
      <c r="N14" s="1976"/>
      <c r="O14" s="1636"/>
      <c r="P14" s="1317"/>
      <c r="Q14" s="1318"/>
      <c r="R14" s="1317"/>
      <c r="S14" s="1323"/>
      <c r="T14" s="1324" t="s">
        <v>177</v>
      </c>
      <c r="U14" s="1325"/>
      <c r="V14" s="1325"/>
      <c r="W14" s="1325"/>
      <c r="X14" s="1325"/>
      <c r="Y14" s="1325"/>
      <c r="Z14" s="1325"/>
      <c r="AA14" s="1325"/>
      <c r="AB14" s="1325"/>
      <c r="AC14" s="1325"/>
      <c r="AD14" s="1325"/>
      <c r="AE14" s="1325"/>
      <c r="AF14" s="1325"/>
      <c r="AG14" s="1325"/>
      <c r="AH14" s="1325"/>
      <c r="AI14" s="1325"/>
      <c r="AJ14" s="1325"/>
      <c r="AK14" s="1325"/>
      <c r="AL14" s="1325"/>
      <c r="AM14" s="1325"/>
      <c r="AO14" s="1252"/>
      <c r="AP14" s="1252" t="str">
        <f>IF(T14="","",T14)</f>
        <v>Добавить централизованную систему для дифференциации</v>
      </c>
      <c r="AQ14" s="1252"/>
      <c r="AR14" s="1252"/>
      <c r="AS14" s="1643">
        <v>0</v>
      </c>
    </row>
    <row s="1643" customFormat="1" customHeight="1" ht="0.75" hidden="1">
      <c r="A15" s="1975"/>
      <c r="B15" s="1975"/>
      <c r="C15" s="1975"/>
      <c r="D15" s="1975"/>
      <c r="E15" s="2290"/>
      <c r="F15" s="1975"/>
      <c r="G15" s="1975"/>
      <c r="H15" s="1975"/>
      <c r="I15" s="1975"/>
      <c r="J15" s="1975"/>
      <c r="K15" s="1975"/>
      <c r="L15" s="1381"/>
      <c r="M15" s="1976"/>
      <c r="N15" s="1976"/>
      <c r="O15" s="1636"/>
      <c r="P15" s="1317"/>
      <c r="Q15" s="1318"/>
      <c r="R15" s="1317"/>
      <c r="S15" s="1323"/>
      <c r="T15" s="1326" t="s">
        <v>178</v>
      </c>
      <c r="U15" s="1325"/>
      <c r="V15" s="1325"/>
      <c r="W15" s="1325"/>
      <c r="X15" s="1325"/>
      <c r="Y15" s="1325"/>
      <c r="Z15" s="1325"/>
      <c r="AA15" s="1325"/>
      <c r="AB15" s="1325"/>
      <c r="AC15" s="1325"/>
      <c r="AD15" s="1325"/>
      <c r="AE15" s="1325"/>
      <c r="AF15" s="1325"/>
      <c r="AG15" s="1325"/>
      <c r="AH15" s="1325"/>
      <c r="AI15" s="1325"/>
      <c r="AJ15" s="1325"/>
      <c r="AK15" s="1325"/>
      <c r="AL15" s="1325"/>
      <c r="AM15" s="1325"/>
      <c r="AO15" s="1252"/>
      <c r="AP15" s="1252" t="str">
        <f>IF(T15="","",T15)</f>
        <v>Добавить территорию для дифференциации</v>
      </c>
      <c r="AQ15" s="1252"/>
      <c r="AR15" s="1252"/>
      <c r="AS15" s="1643">
        <v>0</v>
      </c>
    </row>
    <row customHeight="1" ht="14.25" hidden="1">
      <c r="AS16" s="1632">
        <v>0</v>
      </c>
    </row>
    <row customHeight="1" ht="14.25" hidden="1">
      <c r="AD17" s="1361"/>
      <c r="AE17" s="1361"/>
      <c r="AF17" s="1361"/>
      <c r="AG17" s="1362"/>
      <c r="AH17" s="2268"/>
      <c r="AI17" s="2269" t="s">
        <v>61</v>
      </c>
      <c r="AJ17" s="2268"/>
      <c r="AK17" s="2269" t="s">
        <v>61</v>
      </c>
      <c r="AS17" s="1632">
        <v>0</v>
      </c>
    </row>
    <row customHeight="1" ht="14.25" hidden="1">
      <c r="AD18" s="1361"/>
      <c r="AE18" s="1361"/>
      <c r="AF18" s="1361"/>
      <c r="AG18" s="329" t="str">
        <f>AH17&amp;"-"&amp;AJ17</f>
        <v>-</v>
      </c>
      <c r="AH18" s="2269"/>
      <c r="AI18" s="2269"/>
      <c r="AJ18" s="2269"/>
      <c r="AK18" s="2269"/>
      <c r="AS18" s="1632">
        <v>0</v>
      </c>
    </row>
    <row customHeight="1" ht="14.25" hidden="1">
      <c r="AS19" s="1632">
        <v>0</v>
      </c>
    </row>
    <row s="1367" customFormat="1" customHeight="1" ht="14.25" hidden="1">
      <c r="A20" s="1632"/>
      <c r="B20" s="1632"/>
      <c r="C20" s="1632"/>
      <c r="D20" s="1632"/>
      <c r="E20" s="1632"/>
      <c r="F20" s="1632"/>
      <c r="G20" s="1632"/>
      <c r="H20" s="1632"/>
      <c r="I20" s="1632"/>
      <c r="J20" s="1632"/>
      <c r="K20" s="1632"/>
      <c r="L20" s="1940"/>
      <c r="M20" s="1966"/>
      <c r="N20" s="1966"/>
      <c r="O20" s="1346" t="s">
        <v>431</v>
      </c>
      <c r="P20" s="1363"/>
      <c r="Q20" s="1372"/>
      <c r="R20" s="1372"/>
      <c r="S20" s="730"/>
      <c r="Z20" s="1368"/>
      <c r="AB20" s="1368"/>
      <c r="AH20" s="1368"/>
      <c r="AJ20" s="1368"/>
      <c r="AN20" s="1637"/>
      <c r="AO20" s="1637"/>
      <c r="AP20" s="1637"/>
      <c r="AQ20" s="1637"/>
      <c r="AR20" s="1637"/>
      <c r="AS20" s="1367">
        <v>0</v>
      </c>
    </row>
    <row s="1367" customFormat="1" customHeight="1" ht="14.25" hidden="1">
      <c r="A21" s="1632"/>
      <c r="B21" s="1632"/>
      <c r="C21" s="1632"/>
      <c r="D21" s="1632"/>
      <c r="E21" s="1632"/>
      <c r="F21" s="1632"/>
      <c r="G21" s="1632"/>
      <c r="H21" s="1632"/>
      <c r="I21" s="1632"/>
      <c r="J21" s="1632"/>
      <c r="K21" s="1632"/>
      <c r="L21" s="1940"/>
      <c r="M21" s="1966"/>
      <c r="N21" s="1966"/>
      <c r="O21" s="1966"/>
      <c r="P21" s="1363"/>
      <c r="Q21" s="1372"/>
      <c r="R21" s="1372"/>
      <c r="S21" s="730"/>
      <c r="AN21" s="1637"/>
      <c r="AO21" s="1637"/>
      <c r="AP21" s="1637"/>
      <c r="AQ21" s="1637"/>
      <c r="AR21" s="1637"/>
      <c r="AS21" s="1367">
        <v>0</v>
      </c>
    </row>
    <row s="1367" customFormat="1" customHeight="1" ht="14.25" hidden="1">
      <c r="A22" s="1632"/>
      <c r="B22" s="1632"/>
      <c r="C22" s="1632"/>
      <c r="D22" s="1632"/>
      <c r="E22" s="1632"/>
      <c r="F22" s="1632"/>
      <c r="G22" s="1632"/>
      <c r="H22" s="1632"/>
      <c r="I22" s="1632"/>
      <c r="J22" s="1632"/>
      <c r="K22" s="1632"/>
      <c r="L22" s="1940"/>
      <c r="M22" s="1966"/>
      <c r="N22" s="1966"/>
      <c r="O22" s="1311" t="s">
        <v>432</v>
      </c>
      <c r="P22" s="1363"/>
      <c r="Q22" s="1372"/>
      <c r="R22" s="1372"/>
      <c r="S22" s="730"/>
      <c r="T22" s="1367" t="s">
        <v>433</v>
      </c>
      <c r="AA22" s="596" t="s">
        <v>434</v>
      </c>
      <c r="AC22" s="596" t="s">
        <v>435</v>
      </c>
      <c r="AD22" s="1367" t="s">
        <v>433</v>
      </c>
      <c r="AI22" s="596" t="s">
        <v>436</v>
      </c>
      <c r="AK22" s="596" t="s">
        <v>435</v>
      </c>
      <c r="AN22" s="1637"/>
      <c r="AO22" s="1637"/>
      <c r="AP22" s="1637"/>
      <c r="AQ22" s="1637"/>
      <c r="AR22" s="1637"/>
      <c r="AS22" s="1367">
        <v>0</v>
      </c>
    </row>
    <row customHeight="1" ht="14.25" hidden="1">
      <c r="O23" s="1311"/>
      <c r="AS23" s="1632">
        <v>0</v>
      </c>
    </row>
    <row customHeight="1" ht="14.25" hidden="1">
      <c r="O24" s="1311"/>
      <c r="AS24" s="1632">
        <v>0</v>
      </c>
    </row>
    <row customHeight="1" ht="14.699999999999998">
      <c r="Q25" s="377"/>
      <c r="R25" s="377"/>
      <c r="S25" s="1276"/>
      <c r="T25" s="458"/>
      <c r="U25" s="458"/>
      <c r="V25" s="1636"/>
      <c r="W25" s="1636"/>
      <c r="X25" s="1636"/>
      <c r="Y25" s="1636"/>
      <c r="Z25" s="1636"/>
      <c r="AA25" s="1636"/>
      <c r="AB25" s="1636"/>
      <c r="AC25" s="1636"/>
      <c r="AD25" s="1636"/>
      <c r="AE25" s="1636"/>
      <c r="AF25" s="1636"/>
      <c r="AG25" s="1636"/>
      <c r="AH25" s="1636"/>
      <c r="AI25" s="1636"/>
      <c r="AJ25" s="1636"/>
      <c r="AK25" s="1636"/>
      <c r="AS25" s="1632">
        <v>14</v>
      </c>
    </row>
    <row customHeight="1" ht="14.699999999999998">
      <c r="Q26" s="377"/>
      <c r="R26" s="377"/>
      <c r="S26" s="2249" t="str">
        <f>IF(TEMPLATE_GROUP="P",PT_P_FORM_HEAT_4_NAME_FORM,PT_R_FORM_HEAT_21_NAME_FORM)</f>
        <v>Форма 19. Информация о предложении регулируемой организации о расчетной величине тарифов в сфере теплоснабжения на очередной расчетный период регулирования</v>
      </c>
      <c r="T26" s="2249"/>
      <c r="U26" s="2249"/>
      <c r="V26" s="2249"/>
      <c r="W26" s="2249"/>
      <c r="X26" s="2249"/>
      <c r="Y26" s="2249"/>
      <c r="Z26" s="2249"/>
      <c r="AA26" s="2249"/>
      <c r="AB26" s="2249"/>
      <c r="AC26" s="2249"/>
      <c r="AD26" s="2249"/>
      <c r="AE26" s="2249"/>
      <c r="AF26" s="2249"/>
      <c r="AG26" s="2249"/>
      <c r="AH26" s="2249"/>
      <c r="AI26" s="2249"/>
      <c r="AJ26" s="2249"/>
      <c r="AK26" s="1244"/>
      <c r="AS26" s="1632">
        <v>14</v>
      </c>
    </row>
    <row customHeight="1" ht="14.699999999999998">
      <c r="Q27" s="377"/>
      <c r="R27" s="377"/>
      <c r="S27" s="2250" t="str">
        <f>IF(org=0,"Не определено",org)</f>
        <v>ПАО "КГК"</v>
      </c>
      <c r="T27" s="2250"/>
      <c r="U27" s="2250"/>
      <c r="V27" s="2250"/>
      <c r="W27" s="2250"/>
      <c r="X27" s="2250"/>
      <c r="Y27" s="2250"/>
      <c r="Z27" s="2250"/>
      <c r="AA27" s="2250"/>
      <c r="AB27" s="2250"/>
      <c r="AC27" s="2250"/>
      <c r="AD27" s="2250"/>
      <c r="AE27" s="2250"/>
      <c r="AF27" s="2250"/>
      <c r="AG27" s="2250"/>
      <c r="AH27" s="2250"/>
      <c r="AI27" s="2250"/>
      <c r="AJ27" s="2250"/>
      <c r="AK27" s="1244"/>
      <c r="AS27" s="1632">
        <v>14</v>
      </c>
    </row>
    <row customHeight="1" ht="14.25" hidden="1">
      <c r="Q28" s="377"/>
      <c r="R28" s="377"/>
      <c r="S28" s="1276"/>
      <c r="T28" s="458"/>
      <c r="U28" s="458"/>
      <c r="V28" s="323"/>
      <c r="W28" s="323"/>
      <c r="X28" s="323"/>
      <c r="Y28" s="323"/>
      <c r="Z28" s="323"/>
      <c r="AA28" s="323"/>
      <c r="AB28" s="323"/>
      <c r="AC28" s="323"/>
      <c r="AD28" s="323"/>
      <c r="AE28" s="323"/>
      <c r="AF28" s="323"/>
      <c r="AG28" s="323"/>
      <c r="AH28" s="323"/>
      <c r="AI28" s="323"/>
      <c r="AJ28" s="323"/>
      <c r="AK28" s="323"/>
      <c r="AL28" s="1636"/>
      <c r="AS28" s="1632">
        <v>0</v>
      </c>
    </row>
    <row s="1854" customFormat="1" customHeight="1" ht="25.5" hidden="1">
      <c r="A29" s="1249"/>
      <c r="B29" s="1249"/>
      <c r="C29" s="1249"/>
      <c r="D29" s="1249"/>
      <c r="E29" s="1249"/>
      <c r="F29" s="1249"/>
      <c r="G29" s="1249"/>
      <c r="H29" s="1249"/>
      <c r="I29" s="1249"/>
      <c r="J29" s="1249"/>
      <c r="K29" s="1249"/>
      <c r="L29" s="1381"/>
      <c r="M29" s="1249"/>
      <c r="N29" s="1249"/>
      <c r="O29" s="1249"/>
      <c r="S29" s="2251" t="s">
        <v>42</v>
      </c>
      <c r="T29" s="2251"/>
      <c r="U29" s="1373"/>
      <c r="V29" s="2252" t="str">
        <f>IF(TITLE_NAME_OR_PR_CHANGE="",IF(TITLE_NAME_OR_PR="","",TITLE_NAME_OR_PR),TITLE_NAME_OR_PR_CHANGE)</f>
        <v/>
      </c>
      <c r="W29" s="2252"/>
      <c r="X29" s="2252"/>
      <c r="Y29" s="2252"/>
      <c r="Z29" s="2252"/>
      <c r="AA29" s="2252"/>
      <c r="AB29" s="2252"/>
      <c r="AC29" s="1636"/>
      <c r="AD29" s="2252" t="str">
        <f>IF(TITLE_NAME_OR_PR_CHANGE="",IF(TITLE_NAME_OR_PR="","",TITLE_NAME_OR_PR),TITLE_NAME_OR_PR_CHANGE)</f>
        <v/>
      </c>
      <c r="AE29" s="2252"/>
      <c r="AF29" s="2252"/>
      <c r="AG29" s="2252"/>
      <c r="AH29" s="2252"/>
      <c r="AI29" s="2252"/>
      <c r="AJ29" s="2252"/>
      <c r="AK29" s="1636"/>
      <c r="AL29" s="1636"/>
      <c r="AM29" s="281"/>
      <c r="AN29" s="369"/>
      <c r="AO29" s="369"/>
      <c r="AP29" s="369"/>
      <c r="AQ29" s="369"/>
      <c r="AR29" s="369"/>
      <c r="AS29" s="419">
        <v>0</v>
      </c>
    </row>
    <row s="1854" customFormat="1" customHeight="1" ht="18.75" hidden="1">
      <c r="A30" s="1249"/>
      <c r="B30" s="1249"/>
      <c r="C30" s="1249"/>
      <c r="D30" s="1249"/>
      <c r="E30" s="1249"/>
      <c r="F30" s="1249"/>
      <c r="G30" s="1249"/>
      <c r="H30" s="1249"/>
      <c r="I30" s="1249"/>
      <c r="J30" s="1249"/>
      <c r="K30" s="1249"/>
      <c r="L30" s="1381"/>
      <c r="M30" s="1249"/>
      <c r="N30" s="1249"/>
      <c r="O30" s="1249"/>
      <c r="S30" s="2251" t="s">
        <v>437</v>
      </c>
      <c r="T30" s="2251"/>
      <c r="U30" s="1373"/>
      <c r="V30" s="2265" t="str">
        <f>IF(TITLE_DATE_PR_CHANGE="",IF(TITLE_DATE_PR="","",TITLE_DATE_PR),TITLE_DATE_PR_CHANGE)</f>
        <v>46142</v>
      </c>
      <c r="W30" s="2265"/>
      <c r="X30" s="2265"/>
      <c r="Y30" s="2265"/>
      <c r="Z30" s="2265"/>
      <c r="AA30" s="2265"/>
      <c r="AB30" s="2265"/>
      <c r="AC30" s="1636"/>
      <c r="AD30" s="2265" t="str">
        <f>IF(TITLE_DATE_PR_CHANGE="",IF(TITLE_DATE_PR="","",TITLE_DATE_PR),TITLE_DATE_PR_CHANGE)</f>
        <v>46142</v>
      </c>
      <c r="AE30" s="2265"/>
      <c r="AF30" s="2265"/>
      <c r="AG30" s="2265"/>
      <c r="AH30" s="2265"/>
      <c r="AI30" s="2265"/>
      <c r="AJ30" s="2265"/>
      <c r="AK30" s="1636"/>
      <c r="AL30" s="1636"/>
      <c r="AM30" s="281"/>
      <c r="AN30" s="369"/>
      <c r="AO30" s="369"/>
      <c r="AP30" s="369"/>
      <c r="AQ30" s="369"/>
      <c r="AR30" s="369"/>
      <c r="AS30" s="419">
        <v>0</v>
      </c>
    </row>
    <row s="1854" customFormat="1" customHeight="1" ht="18.75" hidden="1">
      <c r="A31" s="1249"/>
      <c r="B31" s="1249"/>
      <c r="C31" s="1249"/>
      <c r="D31" s="1249"/>
      <c r="E31" s="1249"/>
      <c r="F31" s="1249"/>
      <c r="G31" s="1249"/>
      <c r="H31" s="1249"/>
      <c r="I31" s="1249"/>
      <c r="J31" s="1249"/>
      <c r="K31" s="1249"/>
      <c r="L31" s="1381"/>
      <c r="M31" s="1249"/>
      <c r="N31" s="1249"/>
      <c r="O31" s="1249"/>
      <c r="S31" s="2251" t="s">
        <v>438</v>
      </c>
      <c r="T31" s="2251"/>
      <c r="U31" s="1373"/>
      <c r="V31" s="2252" t="str">
        <f>IF(TITLE_NUMBER_PR_CHANGE="",IF(TITLE_NUMBER_PR="","",TITLE_NUMBER_PR),TITLE_NUMBER_PR_CHANGE)</f>
        <v>206Т</v>
      </c>
      <c r="W31" s="2252"/>
      <c r="X31" s="2252"/>
      <c r="Y31" s="2252"/>
      <c r="Z31" s="2252"/>
      <c r="AA31" s="2252"/>
      <c r="AB31" s="2252"/>
      <c r="AC31" s="1636"/>
      <c r="AD31" s="2252" t="str">
        <f>IF(TITLE_NUMBER_PR_CHANGE="",IF(TITLE_NUMBER_PR="","",TITLE_NUMBER_PR),TITLE_NUMBER_PR_CHANGE)</f>
        <v>206Т</v>
      </c>
      <c r="AE31" s="2252"/>
      <c r="AF31" s="2252"/>
      <c r="AG31" s="2252"/>
      <c r="AH31" s="2252"/>
      <c r="AI31" s="2252"/>
      <c r="AJ31" s="2252"/>
      <c r="AK31" s="1636"/>
      <c r="AL31" s="1636"/>
      <c r="AM31" s="281"/>
      <c r="AN31" s="369"/>
      <c r="AO31" s="369"/>
      <c r="AP31" s="369"/>
      <c r="AQ31" s="369"/>
      <c r="AR31" s="369"/>
      <c r="AS31" s="419">
        <v>0</v>
      </c>
    </row>
    <row s="1854" customFormat="1" customHeight="1" ht="18.75" hidden="1">
      <c r="A32" s="1249"/>
      <c r="B32" s="1249"/>
      <c r="C32" s="1249"/>
      <c r="D32" s="1249"/>
      <c r="E32" s="1249"/>
      <c r="F32" s="1249"/>
      <c r="G32" s="1249"/>
      <c r="H32" s="1249"/>
      <c r="I32" s="1249"/>
      <c r="J32" s="1249"/>
      <c r="K32" s="1249"/>
      <c r="L32" s="1381"/>
      <c r="M32" s="1249"/>
      <c r="N32" s="1249"/>
      <c r="O32" s="1249"/>
      <c r="S32" s="2251" t="s">
        <v>43</v>
      </c>
      <c r="T32" s="2251"/>
      <c r="U32" s="1373"/>
      <c r="V32" s="2252" t="str">
        <f>IF(TITLE_IST_PUB_CHANGE="",IF(TITLE_IST_PUB="","",TITLE_IST_PUB),TITLE_IST_PUB_CHANGE)</f>
        <v/>
      </c>
      <c r="W32" s="2252"/>
      <c r="X32" s="2252"/>
      <c r="Y32" s="2252"/>
      <c r="Z32" s="2252"/>
      <c r="AA32" s="2252"/>
      <c r="AB32" s="2252"/>
      <c r="AC32" s="1636"/>
      <c r="AD32" s="2252" t="str">
        <f>IF(TITLE_IST_PUB_CHANGE="",IF(TITLE_IST_PUB="","",TITLE_IST_PUB),TITLE_IST_PUB_CHANGE)</f>
        <v/>
      </c>
      <c r="AE32" s="2252"/>
      <c r="AF32" s="2252"/>
      <c r="AG32" s="2252"/>
      <c r="AH32" s="2252"/>
      <c r="AI32" s="2252"/>
      <c r="AJ32" s="2252"/>
      <c r="AK32" s="1636"/>
      <c r="AL32" s="1636"/>
      <c r="AM32" s="281"/>
      <c r="AN32" s="369"/>
      <c r="AO32" s="369"/>
      <c r="AP32" s="369"/>
      <c r="AQ32" s="369"/>
      <c r="AR32" s="369"/>
      <c r="AS32" s="419">
        <v>0</v>
      </c>
    </row>
    <row customHeight="1" ht="14.25" hidden="1">
      <c r="Q33" s="377"/>
      <c r="R33" s="377"/>
      <c r="S33" s="1276"/>
      <c r="T33" s="458"/>
      <c r="U33" s="458"/>
      <c r="V33" s="323"/>
      <c r="W33" s="323"/>
      <c r="X33" s="323"/>
      <c r="Y33" s="323"/>
      <c r="Z33" s="323"/>
      <c r="AA33" s="323"/>
      <c r="AB33" s="323"/>
      <c r="AC33" s="323"/>
      <c r="AD33" s="323"/>
      <c r="AE33" s="323"/>
      <c r="AF33" s="323"/>
      <c r="AG33" s="323"/>
      <c r="AH33" s="323"/>
      <c r="AI33" s="323"/>
      <c r="AJ33" s="323"/>
      <c r="AK33" s="323"/>
      <c r="AL33" s="1636"/>
      <c r="AS33" s="1632">
        <v>0</v>
      </c>
    </row>
    <row s="1854" customFormat="1" customHeight="1" ht="18.75" hidden="1">
      <c r="A34" s="1249"/>
      <c r="B34" s="1249"/>
      <c r="C34" s="1249"/>
      <c r="D34" s="1249"/>
      <c r="E34" s="1249"/>
      <c r="F34" s="1249"/>
      <c r="G34" s="1249"/>
      <c r="H34" s="1249"/>
      <c r="I34" s="1249"/>
      <c r="J34" s="1249"/>
      <c r="K34" s="1249"/>
      <c r="L34" s="1381"/>
      <c r="M34" s="1249"/>
      <c r="N34" s="1249"/>
      <c r="O34" s="1249"/>
      <c r="S34" s="2251" t="s">
        <v>439</v>
      </c>
      <c r="T34" s="2251"/>
      <c r="U34" s="1373"/>
      <c r="V34" s="2265" t="str">
        <f>IF(TITLE_DATE_PR_CHANGE="",IF(TITLE_DATE_PR="","",TITLE_DATE_PR),TITLE_DATE_PR_CHANGE)</f>
        <v>46142</v>
      </c>
      <c r="W34" s="2265"/>
      <c r="X34" s="2265"/>
      <c r="Y34" s="2265"/>
      <c r="Z34" s="2265"/>
      <c r="AA34" s="2265"/>
      <c r="AB34" s="2265"/>
      <c r="AC34" s="1636"/>
      <c r="AD34" s="2265" t="str">
        <f>IF(TITLE_DATE_PR_CHANGE="",IF(TITLE_DATE_PR="","",TITLE_DATE_PR),TITLE_DATE_PR_CHANGE)</f>
        <v>46142</v>
      </c>
      <c r="AE34" s="2265"/>
      <c r="AF34" s="2265"/>
      <c r="AG34" s="2265"/>
      <c r="AH34" s="2265"/>
      <c r="AI34" s="2265"/>
      <c r="AJ34" s="2265"/>
      <c r="AK34" s="1636"/>
      <c r="AL34" s="1636"/>
      <c r="AM34" s="281"/>
      <c r="AN34" s="369"/>
      <c r="AO34" s="369"/>
      <c r="AP34" s="369"/>
      <c r="AQ34" s="369"/>
      <c r="AR34" s="369"/>
      <c r="AS34" s="419">
        <v>0</v>
      </c>
    </row>
    <row s="1854" customFormat="1" customHeight="1" ht="18.75" hidden="1">
      <c r="A35" s="1249"/>
      <c r="B35" s="1249"/>
      <c r="C35" s="1249"/>
      <c r="D35" s="1249"/>
      <c r="E35" s="1249"/>
      <c r="F35" s="1249"/>
      <c r="G35" s="1249"/>
      <c r="H35" s="1249"/>
      <c r="I35" s="1249"/>
      <c r="J35" s="1249"/>
      <c r="K35" s="1249"/>
      <c r="L35" s="1381"/>
      <c r="M35" s="1249"/>
      <c r="N35" s="1249"/>
      <c r="O35" s="1249"/>
      <c r="S35" s="2251" t="s">
        <v>440</v>
      </c>
      <c r="T35" s="2251"/>
      <c r="U35" s="1373"/>
      <c r="V35" s="2252" t="str">
        <f>IF(TITLE_NUMBER_PR_CHANGE="",IF(TITLE_NUMBER_PR="","",TITLE_NUMBER_PR),TITLE_NUMBER_PR_CHANGE)</f>
        <v>206Т</v>
      </c>
      <c r="W35" s="2252"/>
      <c r="X35" s="2252"/>
      <c r="Y35" s="2252"/>
      <c r="Z35" s="2252"/>
      <c r="AA35" s="2252"/>
      <c r="AB35" s="2252"/>
      <c r="AC35" s="1636"/>
      <c r="AD35" s="2252" t="str">
        <f>IF(TITLE_NUMBER_PR_CHANGE="",IF(TITLE_NUMBER_PR="","",TITLE_NUMBER_PR),TITLE_NUMBER_PR_CHANGE)</f>
        <v>206Т</v>
      </c>
      <c r="AE35" s="2252"/>
      <c r="AF35" s="2252"/>
      <c r="AG35" s="2252"/>
      <c r="AH35" s="2252"/>
      <c r="AI35" s="2252"/>
      <c r="AJ35" s="2252"/>
      <c r="AK35" s="1636"/>
      <c r="AL35" s="1636"/>
      <c r="AM35" s="281"/>
      <c r="AN35" s="369"/>
      <c r="AO35" s="369"/>
      <c r="AP35" s="369"/>
      <c r="AQ35" s="369"/>
      <c r="AR35" s="369"/>
      <c r="AS35" s="419">
        <v>0</v>
      </c>
    </row>
    <row s="1854" customFormat="1" customHeight="1" ht="0">
      <c r="A36" s="1249"/>
      <c r="B36" s="1249"/>
      <c r="C36" s="1249"/>
      <c r="D36" s="1249"/>
      <c r="E36" s="1249"/>
      <c r="F36" s="1249"/>
      <c r="G36" s="1249"/>
      <c r="H36" s="1249"/>
      <c r="I36" s="1249"/>
      <c r="J36" s="1249"/>
      <c r="K36" s="1249"/>
      <c r="L36" s="1381"/>
      <c r="M36" s="1249"/>
      <c r="N36" s="1249"/>
      <c r="O36" s="1249"/>
      <c r="S36" s="1636"/>
      <c r="T36" s="1636"/>
      <c r="U36" s="1971"/>
      <c r="V36" s="1636"/>
      <c r="W36" s="1636"/>
      <c r="X36" s="1636"/>
      <c r="Y36" s="1636"/>
      <c r="Z36" s="1636"/>
      <c r="AA36" s="1636"/>
      <c r="AB36" s="1636"/>
      <c r="AC36" s="1643" t="s">
        <v>441</v>
      </c>
      <c r="AD36" s="1636"/>
      <c r="AE36" s="1636"/>
      <c r="AF36" s="1636"/>
      <c r="AG36" s="1636"/>
      <c r="AH36" s="1636"/>
      <c r="AI36" s="1636"/>
      <c r="AJ36" s="1636"/>
      <c r="AK36" s="1643" t="s">
        <v>441</v>
      </c>
      <c r="AN36" s="369"/>
      <c r="AO36" s="369"/>
      <c r="AP36" s="369"/>
      <c r="AQ36" s="369"/>
      <c r="AR36" s="369"/>
      <c r="AS36" s="419">
        <v>0</v>
      </c>
    </row>
    <row customHeight="1" ht="14.699999999999998">
      <c r="Q37" s="377"/>
      <c r="R37" s="377"/>
      <c r="S37" s="1276"/>
      <c r="T37" s="458"/>
      <c r="U37" s="1245"/>
      <c r="V37" s="2253"/>
      <c r="W37" s="2253"/>
      <c r="X37" s="2253"/>
      <c r="Y37" s="2253"/>
      <c r="Z37" s="2253"/>
      <c r="AA37" s="2253"/>
      <c r="AB37" s="2253"/>
      <c r="AC37" s="2253"/>
      <c r="AD37" s="2253"/>
      <c r="AE37" s="2253"/>
      <c r="AF37" s="2253"/>
      <c r="AG37" s="2253"/>
      <c r="AH37" s="2253"/>
      <c r="AI37" s="2253"/>
      <c r="AJ37" s="2253"/>
      <c r="AK37" s="2253"/>
      <c r="AS37" s="1632">
        <v>14</v>
      </c>
    </row>
    <row customHeight="1" ht="14.699999999999998">
      <c r="Q38" s="377"/>
      <c r="R38" s="377"/>
      <c r="S38" s="2128" t="s">
        <v>317</v>
      </c>
      <c r="T38" s="2128"/>
      <c r="U38" s="2128"/>
      <c r="V38" s="2128"/>
      <c r="W38" s="2128"/>
      <c r="X38" s="2128"/>
      <c r="Y38" s="2128"/>
      <c r="Z38" s="2128"/>
      <c r="AA38" s="2128"/>
      <c r="AB38" s="2128"/>
      <c r="AC38" s="2128"/>
      <c r="AD38" s="2128"/>
      <c r="AE38" s="2128"/>
      <c r="AF38" s="2128"/>
      <c r="AG38" s="2128"/>
      <c r="AH38" s="2128"/>
      <c r="AI38" s="2128"/>
      <c r="AJ38" s="2128"/>
      <c r="AK38" s="2128"/>
      <c r="AL38" s="2128"/>
      <c r="AM38" s="2128" t="s">
        <v>318</v>
      </c>
      <c r="AS38" s="1632">
        <v>14</v>
      </c>
    </row>
    <row customHeight="1" ht="14.699999999999998">
      <c r="Q39" s="377"/>
      <c r="R39" s="377"/>
      <c r="S39" s="2274" t="s">
        <v>89</v>
      </c>
      <c r="T39" s="2210" t="s">
        <v>442</v>
      </c>
      <c r="U39" s="338"/>
      <c r="V39" s="2275" t="s">
        <v>443</v>
      </c>
      <c r="W39" s="2276"/>
      <c r="X39" s="2276"/>
      <c r="Y39" s="2276"/>
      <c r="Z39" s="2276"/>
      <c r="AA39" s="2276"/>
      <c r="AB39" s="2277"/>
      <c r="AC39" s="2278" t="s">
        <v>444</v>
      </c>
      <c r="AD39" s="2275" t="s">
        <v>443</v>
      </c>
      <c r="AE39" s="2276"/>
      <c r="AF39" s="2276"/>
      <c r="AG39" s="2276"/>
      <c r="AH39" s="2276"/>
      <c r="AI39" s="2276"/>
      <c r="AJ39" s="2277"/>
      <c r="AK39" s="2278" t="s">
        <v>445</v>
      </c>
      <c r="AL39" s="2281" t="s">
        <v>446</v>
      </c>
      <c r="AM39" s="2128"/>
      <c r="AS39" s="1632">
        <v>14</v>
      </c>
    </row>
    <row customHeight="1" ht="35.699999999999996">
      <c r="Q40" s="377"/>
      <c r="R40" s="377"/>
      <c r="S40" s="2274"/>
      <c r="T40" s="2210"/>
      <c r="U40" s="1032"/>
      <c r="V40" s="2261" t="s">
        <v>447</v>
      </c>
      <c r="W40" s="2284" t="s">
        <v>448</v>
      </c>
      <c r="X40" s="2263" t="s">
        <v>449</v>
      </c>
      <c r="Y40" s="2264"/>
      <c r="Z40" s="2263" t="s">
        <v>462</v>
      </c>
      <c r="AA40" s="2270"/>
      <c r="AB40" s="2264"/>
      <c r="AC40" s="2279"/>
      <c r="AD40" s="2261" t="s">
        <v>447</v>
      </c>
      <c r="AE40" s="2284" t="s">
        <v>448</v>
      </c>
      <c r="AF40" s="2263" t="s">
        <v>449</v>
      </c>
      <c r="AG40" s="2264"/>
      <c r="AH40" s="2263" t="s">
        <v>450</v>
      </c>
      <c r="AI40" s="2270"/>
      <c r="AJ40" s="2264"/>
      <c r="AK40" s="2279"/>
      <c r="AL40" s="2282"/>
      <c r="AM40" s="2128"/>
      <c r="AS40" s="1632">
        <v>34</v>
      </c>
    </row>
    <row customHeight="1" ht="35.699999999999996">
      <c r="A41" s="1267"/>
      <c r="B41" s="1267" t="s">
        <v>143</v>
      </c>
      <c r="C41" s="1267" t="s">
        <v>144</v>
      </c>
      <c r="D41" s="1267" t="s">
        <v>145</v>
      </c>
      <c r="E41" s="1311" t="s">
        <v>451</v>
      </c>
      <c r="F41" s="1311" t="s">
        <v>452</v>
      </c>
      <c r="G41" s="1311" t="s">
        <v>453</v>
      </c>
      <c r="H41" s="1311" t="s">
        <v>454</v>
      </c>
      <c r="I41" s="1311" t="s">
        <v>455</v>
      </c>
      <c r="J41" s="1311" t="s">
        <v>456</v>
      </c>
      <c r="K41" s="1311" t="s">
        <v>457</v>
      </c>
      <c r="L41" s="1311" t="s">
        <v>432</v>
      </c>
      <c r="Q41" s="377"/>
      <c r="R41" s="377"/>
      <c r="S41" s="2274"/>
      <c r="T41" s="2210"/>
      <c r="U41" s="303"/>
      <c r="V41" s="2262"/>
      <c r="W41" s="2285"/>
      <c r="X41" s="1939" t="s">
        <v>458</v>
      </c>
      <c r="Y41" s="1939" t="s">
        <v>459</v>
      </c>
      <c r="Z41" s="1939" t="s">
        <v>460</v>
      </c>
      <c r="AA41" s="2271" t="s">
        <v>461</v>
      </c>
      <c r="AB41" s="2272"/>
      <c r="AC41" s="2280"/>
      <c r="AD41" s="2262"/>
      <c r="AE41" s="2285"/>
      <c r="AF41" s="1939" t="s">
        <v>458</v>
      </c>
      <c r="AG41" s="1939" t="s">
        <v>459</v>
      </c>
      <c r="AH41" s="1939" t="s">
        <v>460</v>
      </c>
      <c r="AI41" s="2271" t="s">
        <v>461</v>
      </c>
      <c r="AJ41" s="2272"/>
      <c r="AK41" s="2280"/>
      <c r="AL41" s="2283"/>
      <c r="AM41" s="2128"/>
      <c r="AS41" s="1632">
        <v>34</v>
      </c>
    </row>
    <row s="1642" customFormat="1" customHeight="1" ht="11.25" hidden="1">
      <c r="A42" s="1267"/>
      <c r="B42" s="1267"/>
      <c r="C42" s="1267"/>
      <c r="D42" s="1267"/>
      <c r="E42" s="1267"/>
      <c r="F42" s="1267"/>
      <c r="G42" s="1267"/>
      <c r="H42" s="1267"/>
      <c r="I42" s="1267"/>
      <c r="J42" s="1267"/>
      <c r="K42" s="1267"/>
      <c r="L42" s="1311"/>
      <c r="M42" s="1966"/>
      <c r="N42" s="1966"/>
      <c r="O42" s="1966"/>
      <c r="P42" s="1247"/>
      <c r="Q42" s="1248"/>
      <c r="R42" s="1255">
        <v>1</v>
      </c>
      <c r="S42" s="1278" t="s">
        <v>118</v>
      </c>
      <c r="T42" s="1256" t="s">
        <v>103</v>
      </c>
      <c r="U42" s="1246" t="str">
        <f>OFFSET(U42,0,-1)</f>
        <v>2</v>
      </c>
      <c r="V42" s="1957">
        <f>OFFSET(V42,0,-1)+1</f>
        <v>3</v>
      </c>
      <c r="W42" s="1957"/>
      <c r="X42" s="1957">
        <f>OFFSET(X42,0,-1)+1</f>
        <v>1</v>
      </c>
      <c r="Y42" s="1957">
        <f>OFFSET(Y42,0,-1)+1</f>
        <v>2</v>
      </c>
      <c r="Z42" s="1957">
        <f>OFFSET(Z42,0,-1)+1</f>
        <v>3</v>
      </c>
      <c r="AA42" s="2273">
        <f>OFFSET(AA42,0,-1)+1</f>
        <v>4</v>
      </c>
      <c r="AB42" s="2273"/>
      <c r="AC42" s="1957">
        <f>OFFSET(AC42,0,-2)+1</f>
        <v>5</v>
      </c>
      <c r="AD42" s="1957">
        <f>OFFSET(AD42,0,-1)+1</f>
        <v>6</v>
      </c>
      <c r="AE42" s="1957"/>
      <c r="AF42" s="1957">
        <f>OFFSET(AF42,0,-1)+1</f>
        <v>1</v>
      </c>
      <c r="AG42" s="1957">
        <f>OFFSET(AG42,0,-1)+1</f>
        <v>2</v>
      </c>
      <c r="AH42" s="1957">
        <f>OFFSET(AH42,0,-1)+1</f>
        <v>3</v>
      </c>
      <c r="AI42" s="2273">
        <f>OFFSET(AI42,0,-1)+1</f>
        <v>4</v>
      </c>
      <c r="AJ42" s="2273"/>
      <c r="AK42" s="1957">
        <f>OFFSET(AK42,0,-2)+1</f>
        <v>5</v>
      </c>
      <c r="AL42" s="1246">
        <f>OFFSET(AL42,0,-1)</f>
        <v>5</v>
      </c>
      <c r="AM42" s="1957">
        <f>OFFSET(AM42,0,-1)+1</f>
        <v>6</v>
      </c>
      <c r="AN42" s="1637"/>
      <c r="AO42" s="1637"/>
      <c r="AP42" s="1637"/>
      <c r="AQ42" s="1637"/>
      <c r="AR42" s="1637"/>
      <c r="AS42" s="1642">
        <v>0</v>
      </c>
    </row>
    <row customHeight="1" ht="22.049999999999997">
      <c r="A43" s="1268" t="s">
        <v>229</v>
      </c>
      <c r="B43" s="1268"/>
      <c r="C43" s="1268"/>
      <c r="D43" s="1268"/>
      <c r="E43" s="2290">
        <v>1</v>
      </c>
      <c r="F43" s="1268"/>
      <c r="G43" s="1268"/>
      <c r="H43" s="1268"/>
      <c r="I43" s="1268"/>
      <c r="J43" s="1268"/>
      <c r="K43" s="1268"/>
      <c r="L43" s="1311"/>
      <c r="M43" s="1611"/>
      <c r="N43" s="1611"/>
      <c r="O43" s="1611"/>
      <c r="P43" s="1591"/>
      <c r="Q43" s="361"/>
      <c r="R43" s="356"/>
      <c r="S43" s="1959">
        <f>INDEX(PT_DIFFERENTIATION_NUM_NTAR,MATCH(A43,PT_DIFFERENTIATION_NTAR_ID,0))</f>
        <v>0</v>
      </c>
      <c r="T43" s="1526" t="s">
        <v>131</v>
      </c>
      <c r="U43" s="301"/>
      <c r="V43" s="2243"/>
      <c r="W43" s="2244"/>
      <c r="X43" s="2244"/>
      <c r="Y43" s="2244"/>
      <c r="Z43" s="2244"/>
      <c r="AA43" s="2244"/>
      <c r="AB43" s="2244"/>
      <c r="AC43" s="2245"/>
      <c r="AD43" s="2243" t="str">
        <f>INDEX(PT_DIFFERENTIATION_NTAR,MATCH(A43,PT_DIFFERENTIATION_NTAR_ID,0))</f>
        <v/>
      </c>
      <c r="AE43" s="2244"/>
      <c r="AF43" s="2244"/>
      <c r="AG43" s="2244"/>
      <c r="AH43" s="2244"/>
      <c r="AI43" s="2244"/>
      <c r="AJ43" s="2244"/>
      <c r="AK43" s="2244"/>
      <c r="AL43" s="2245"/>
      <c r="AM43" s="1259" t="str">
        <f>IF(TEMPLATE_GROUP="P","По данной форме раскрывается в том числе информация об индикативном предельном уровне цены на тепловую энергию (мощность), который определен в соответствии с Правилами определения в ценовых зонах теплоснабжения предельного уровня "&amp;"цены на тепловую энергию (мощность), включая правила индексации предельного уровня цены на тепловую энергию (мощность), "&amp;"утвержденными постановлением Правительства Российской Федерации от 15 декабря 2017 г. N 1562 (далее - Правила), о графике поэтапного равномерного доведения предельного уровня цены на тепловую энергию (мощность) до уровня, "&amp;"определяемого в соответствии с указанными "&amp;"Правилами, а также информация о тарифах на товары (услуги) в сфере теплоснабжения в случаях, указанных частях 12 1 - 12 4 статьи 10 Федерального закона от 27 июля 2010 г. N 190-ФЗ ""О теплоснабжении"", "&amp;"теплоснабжающей организации, теплосетевой организации в ценовых зонах теплоснабжения. Для каждого вида тарифа в сфере теплоснабжения форма заполняется отдельно."&amp;"
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"&amp;"об установлении цены (тарифа), источник официального опубликования решения об установлении цены (тарифа) в сфере теплоснабжения.","Для каждого вида тарифа в сфере теплоснабжения форма заполняется отдельно.
"&amp;"В соответствии с данной формой раскрывается информация о расчетной величине тарифов в сфере теплоснабжения на товары (услуги) в случаях, указанных в частях 12 1 - 12 4 статьи 10 Федерального закона от 27 июля 2010 г. N 190-ФЗ ""О теплоснабжении"". "&amp;"Указывается наименование тарифа в случае "&amp;IF(TEMPLATE_GROUP="P","утверждения","предложения")&amp;" нескольких тарифов.
В случае наличия нескольких тарифов информация по ним указывается в отдельных строках.")</f>
        <v>Для каждого вида тарифа в сфере теплоснабжения форма заполняется отдельно.
В соответствии с данной формой раскрывается информация о расчетной величине тарифов в сфере теплоснабжения на товары (услуги) в случаях, указанных в частях 12 1 - 12 4 статьи 10 Федерального закона от 27 июля 2010 г. N 190-ФЗ "О теплоснабжении". Указывается наименование тарифа в случае предложения нескольких тарифов.
В случае наличия нескольких тарифов информация по ним указывается в отдельных строках.</v>
      </c>
      <c r="AO43" s="1625"/>
      <c r="AP43" s="1625" t="str">
        <f>IF(T43="","",T43)</f>
        <v>Наименование тарифа</v>
      </c>
      <c r="AQ43" s="1625"/>
      <c r="AR43" s="1625"/>
      <c r="AS43" s="1632">
        <v>21</v>
      </c>
    </row>
    <row customHeight="1" ht="22.049999999999997">
      <c r="A44" s="1268" t="s">
        <v>229</v>
      </c>
      <c r="B44" s="1268" t="s">
        <v>230</v>
      </c>
      <c r="C44" s="1268"/>
      <c r="D44" s="1268"/>
      <c r="E44" s="2291"/>
      <c r="F44" s="2290">
        <v>1</v>
      </c>
      <c r="G44" s="1268"/>
      <c r="H44" s="1268"/>
      <c r="I44" s="1268"/>
      <c r="J44" s="1268"/>
      <c r="K44" s="1268"/>
      <c r="L44" s="1311"/>
      <c r="M44" s="1611"/>
      <c r="N44" s="1611"/>
      <c r="O44" s="1611"/>
      <c r="P44" s="1941"/>
      <c r="Q44" s="353"/>
      <c r="R44" s="354"/>
      <c r="S44" s="1959" t="str">
        <f>INDEX(PT_DIFFERENTIATION_NUM_TER,MATCH(B44,PT_DIFFERENTIATION_TER_ID,0))</f>
        <v>.</v>
      </c>
      <c r="T44" s="1523" t="s">
        <v>414</v>
      </c>
      <c r="U44" s="301"/>
      <c r="V44" s="2243"/>
      <c r="W44" s="2244"/>
      <c r="X44" s="2244"/>
      <c r="Y44" s="2244"/>
      <c r="Z44" s="2244"/>
      <c r="AA44" s="2244"/>
      <c r="AB44" s="2244"/>
      <c r="AC44" s="2245"/>
      <c r="AD44" s="2243" t="str">
        <f>INDEX(PT_DIFFERENTIATION_TER,MATCH(B44,PT_DIFFERENTIATION_TER_ID,0))</f>
        <v/>
      </c>
      <c r="AE44" s="2244"/>
      <c r="AF44" s="2244"/>
      <c r="AG44" s="2244"/>
      <c r="AH44" s="2244"/>
      <c r="AI44" s="2244"/>
      <c r="AJ44" s="2244"/>
      <c r="AK44" s="2244"/>
      <c r="AL44" s="2245"/>
      <c r="AM44" s="1259" t="s">
        <v>415</v>
      </c>
      <c r="AO44" s="1625"/>
      <c r="AP44" s="1625" t="str">
        <f>IF(T44="","",T44)</f>
        <v>Территория действия тарифа</v>
      </c>
      <c r="AQ44" s="1625"/>
      <c r="AR44" s="1625"/>
      <c r="AS44" s="1632">
        <v>21</v>
      </c>
    </row>
    <row customHeight="1" ht="24">
      <c r="A45" s="1268" t="s">
        <v>229</v>
      </c>
      <c r="B45" s="1268" t="s">
        <v>230</v>
      </c>
      <c r="C45" s="1268" t="s">
        <v>231</v>
      </c>
      <c r="D45" s="1268"/>
      <c r="E45" s="2291"/>
      <c r="F45" s="2291"/>
      <c r="G45" s="2290">
        <v>1</v>
      </c>
      <c r="H45" s="1268"/>
      <c r="I45" s="1268"/>
      <c r="J45" s="1268"/>
      <c r="K45" s="1268"/>
      <c r="L45" s="1311"/>
      <c r="M45" s="1611"/>
      <c r="N45" s="1611"/>
      <c r="O45" s="1611"/>
      <c r="P45" s="355"/>
      <c r="Q45" s="353"/>
      <c r="R45" s="354"/>
      <c r="S45" s="1959" t="str">
        <f>INDEX(PT_DIFFERENTIATION_NUM_CS,MATCH(C45,PT_DIFFERENTIATION_CS_ID,0))</f>
        <v>..</v>
      </c>
      <c r="T45" s="310" t="s">
        <v>416</v>
      </c>
      <c r="U45" s="301"/>
      <c r="V45" s="2243"/>
      <c r="W45" s="2244"/>
      <c r="X45" s="2244"/>
      <c r="Y45" s="2244"/>
      <c r="Z45" s="2244"/>
      <c r="AA45" s="2244"/>
      <c r="AB45" s="2244"/>
      <c r="AC45" s="2245"/>
      <c r="AD45" s="2243" t="str">
        <f>INDEX(PT_DIFFERENTIATION_CS,MATCH(C45,PT_DIFFERENTIATION_CS_ID,0))</f>
        <v/>
      </c>
      <c r="AE45" s="2244"/>
      <c r="AF45" s="2244"/>
      <c r="AG45" s="2244"/>
      <c r="AH45" s="2244"/>
      <c r="AI45" s="2244"/>
      <c r="AJ45" s="2244"/>
      <c r="AK45" s="2244"/>
      <c r="AL45" s="2245"/>
      <c r="AM45" s="1259" t="s">
        <v>417</v>
      </c>
      <c r="AO45" s="1625"/>
      <c r="AP45" s="1625" t="str">
        <f>IF(T45="","",T45)</f>
        <v>Наименование системы теплоснабжения </v>
      </c>
      <c r="AQ45" s="1625"/>
      <c r="AR45" s="1625"/>
      <c r="AS45" s="1632">
        <v>23</v>
      </c>
    </row>
    <row customHeight="1" ht="22.049999999999997">
      <c r="A46" s="1268" t="s">
        <v>229</v>
      </c>
      <c r="B46" s="1268" t="s">
        <v>230</v>
      </c>
      <c r="C46" s="1268" t="s">
        <v>231</v>
      </c>
      <c r="D46" s="1268" t="s">
        <v>232</v>
      </c>
      <c r="E46" s="2291"/>
      <c r="F46" s="2291"/>
      <c r="G46" s="2291"/>
      <c r="H46" s="2290">
        <v>1</v>
      </c>
      <c r="I46" s="1268"/>
      <c r="J46" s="1268"/>
      <c r="K46" s="1268"/>
      <c r="L46" s="1311"/>
      <c r="M46" s="1611"/>
      <c r="N46" s="1611"/>
      <c r="O46" s="1611"/>
      <c r="P46" s="355"/>
      <c r="Q46" s="353"/>
      <c r="R46" s="354"/>
      <c r="S46" s="1959" t="str">
        <f>INDEX(PT_DIFFERENTIATION_NUM_IST_TE,MATCH(D46,PT_DIFFERENTIATION_IST_TE_ID,0))</f>
        <v>...</v>
      </c>
      <c r="T46" s="311" t="s">
        <v>418</v>
      </c>
      <c r="U46" s="301"/>
      <c r="V46" s="2243"/>
      <c r="W46" s="2244"/>
      <c r="X46" s="2244"/>
      <c r="Y46" s="2244"/>
      <c r="Z46" s="2244"/>
      <c r="AA46" s="2244"/>
      <c r="AB46" s="2244"/>
      <c r="AC46" s="2245"/>
      <c r="AD46" s="2243" t="str">
        <f>INDEX(PT_DIFFERENTIATION_IST_TE,MATCH(D46,PT_DIFFERENTIATION_IST_TE_ID,0))</f>
        <v/>
      </c>
      <c r="AE46" s="2244"/>
      <c r="AF46" s="2244"/>
      <c r="AG46" s="2244"/>
      <c r="AH46" s="2244"/>
      <c r="AI46" s="2244"/>
      <c r="AJ46" s="2244"/>
      <c r="AK46" s="2244"/>
      <c r="AL46" s="2245"/>
      <c r="AM46" s="1259" t="s">
        <v>419</v>
      </c>
      <c r="AO46" s="1625"/>
      <c r="AP46" s="1625" t="str">
        <f>IF(T46="","",T46)</f>
        <v>Источник тепловой энергии  </v>
      </c>
      <c r="AQ46" s="1625"/>
      <c r="AR46" s="1625"/>
      <c r="AS46" s="1632">
        <v>21</v>
      </c>
    </row>
    <row customHeight="1" ht="49.5">
      <c r="A47" s="1268" t="s">
        <v>229</v>
      </c>
      <c r="B47" s="1268" t="s">
        <v>230</v>
      </c>
      <c r="C47" s="1268" t="s">
        <v>231</v>
      </c>
      <c r="D47" s="1268" t="s">
        <v>232</v>
      </c>
      <c r="E47" s="2291"/>
      <c r="F47" s="2291"/>
      <c r="G47" s="2291"/>
      <c r="H47" s="2291"/>
      <c r="I47" s="2128" t="str">
        <f>S46&amp;".1"</f>
        <v>....1</v>
      </c>
      <c r="J47" s="1268"/>
      <c r="K47" s="1268"/>
      <c r="L47" s="1311" t="s">
        <v>420</v>
      </c>
      <c r="P47" s="2258">
        <v>1</v>
      </c>
      <c r="Q47" s="1955"/>
      <c r="R47" s="357"/>
      <c r="S47" s="1959" t="str">
        <f>$I47</f>
        <v>....1</v>
      </c>
      <c r="T47" s="286" t="s">
        <v>421</v>
      </c>
      <c r="U47" s="301"/>
      <c r="V47" s="2246"/>
      <c r="W47" s="2247"/>
      <c r="X47" s="2247"/>
      <c r="Y47" s="2247"/>
      <c r="Z47" s="2247"/>
      <c r="AA47" s="2247"/>
      <c r="AB47" s="2247"/>
      <c r="AC47" s="2248"/>
      <c r="AD47" s="2246"/>
      <c r="AE47" s="2247"/>
      <c r="AF47" s="2247"/>
      <c r="AG47" s="2247"/>
      <c r="AH47" s="2247"/>
      <c r="AI47" s="2247"/>
      <c r="AJ47" s="2247"/>
      <c r="AK47" s="2247"/>
      <c r="AL47" s="2248"/>
      <c r="AM47" s="1259" t="s">
        <v>422</v>
      </c>
      <c r="AO47" s="1625"/>
      <c r="AP47" s="1625" t="str">
        <f>IF(T47="","",T47)</f>
        <v>Схема подключения теплопотребляющей установки к коллектору источника тепловой энергии</v>
      </c>
      <c r="AQ47" s="1625"/>
      <c r="AR47" s="1625"/>
      <c r="AS47" s="1632">
        <v>47</v>
      </c>
    </row>
    <row customHeight="1" ht="22.049999999999997">
      <c r="A48" s="1268" t="s">
        <v>229</v>
      </c>
      <c r="B48" s="1268" t="s">
        <v>230</v>
      </c>
      <c r="C48" s="1268" t="s">
        <v>231</v>
      </c>
      <c r="D48" s="1268" t="s">
        <v>232</v>
      </c>
      <c r="E48" s="2291"/>
      <c r="F48" s="2291"/>
      <c r="G48" s="2291"/>
      <c r="H48" s="2291"/>
      <c r="I48" s="2102"/>
      <c r="J48" s="2128" t="str">
        <f>I47&amp;".1"</f>
        <v>....1.1</v>
      </c>
      <c r="K48" s="1268"/>
      <c r="L48" s="1311" t="s">
        <v>423</v>
      </c>
      <c r="P48" s="2258"/>
      <c r="Q48" s="2258">
        <v>1</v>
      </c>
      <c r="R48" s="358"/>
      <c r="S48" s="1959" t="str">
        <f>$J48</f>
        <v>....1.1</v>
      </c>
      <c r="T48" s="287" t="s">
        <v>424</v>
      </c>
      <c r="U48" s="301"/>
      <c r="V48" s="2246"/>
      <c r="W48" s="2247"/>
      <c r="X48" s="2247"/>
      <c r="Y48" s="2247"/>
      <c r="Z48" s="2247"/>
      <c r="AA48" s="2247"/>
      <c r="AB48" s="2247"/>
      <c r="AC48" s="2248"/>
      <c r="AD48" s="2246"/>
      <c r="AE48" s="2247"/>
      <c r="AF48" s="2247"/>
      <c r="AG48" s="2247"/>
      <c r="AH48" s="2247"/>
      <c r="AI48" s="2247"/>
      <c r="AJ48" s="2247"/>
      <c r="AK48" s="2247"/>
      <c r="AL48" s="2248"/>
      <c r="AM48" s="1259" t="s">
        <v>425</v>
      </c>
      <c r="AO48" s="1625"/>
      <c r="AP48" s="1625" t="str">
        <f>IF(T48="","",T48)</f>
        <v>Группа потребителей</v>
      </c>
      <c r="AQ48" s="1625"/>
      <c r="AR48" s="1625"/>
      <c r="AS48" s="1632">
        <v>21</v>
      </c>
    </row>
    <row customHeight="1" ht="22.049999999999997">
      <c r="A49" s="1268" t="s">
        <v>229</v>
      </c>
      <c r="B49" s="1268" t="s">
        <v>230</v>
      </c>
      <c r="C49" s="1268" t="s">
        <v>231</v>
      </c>
      <c r="D49" s="1268" t="s">
        <v>232</v>
      </c>
      <c r="E49" s="2291"/>
      <c r="F49" s="2291"/>
      <c r="G49" s="2291"/>
      <c r="H49" s="2291"/>
      <c r="I49" s="2102"/>
      <c r="J49" s="2102"/>
      <c r="K49" s="2128" t="str">
        <f>J48&amp;".1"</f>
        <v>....1.1.1</v>
      </c>
      <c r="L49" s="1311" t="s">
        <v>426</v>
      </c>
      <c r="P49" s="2258"/>
      <c r="Q49" s="2258"/>
      <c r="R49" s="358">
        <v>1</v>
      </c>
      <c r="S49" s="1959" t="str">
        <f>$K49</f>
        <v>....1.1.1</v>
      </c>
      <c r="T49" s="1348"/>
      <c r="U49" s="301"/>
      <c r="V49" s="752"/>
      <c r="W49" s="326"/>
      <c r="X49" s="752"/>
      <c r="Y49" s="1258"/>
      <c r="Z49" s="2266"/>
      <c r="AA49" s="2108" t="s">
        <v>61</v>
      </c>
      <c r="AB49" s="2266"/>
      <c r="AC49" s="2108" t="s">
        <v>61</v>
      </c>
      <c r="AD49" s="752"/>
      <c r="AE49" s="326"/>
      <c r="AF49" s="752"/>
      <c r="AG49" s="1258"/>
      <c r="AH49" s="2266"/>
      <c r="AI49" s="2108" t="s">
        <v>61</v>
      </c>
      <c r="AJ49" s="2288"/>
      <c r="AK49" s="2108" t="s">
        <v>61</v>
      </c>
      <c r="AL49" s="1349"/>
      <c r="AM49" s="2254" t="s">
        <v>427</v>
      </c>
      <c r="AN49" s="1637">
        <f>STRCHECKDATE(V50:AL50)</f>
      </c>
      <c r="AO49" s="1625"/>
      <c r="AP49" s="1625" t="str">
        <f>IF(T49="","",T49)</f>
        <v/>
      </c>
      <c r="AQ49" s="1625"/>
      <c r="AR49" s="1625"/>
      <c r="AS49" s="1632">
        <v>21</v>
      </c>
    </row>
    <row customHeight="1" ht="1.05">
      <c r="A50" s="1268" t="s">
        <v>229</v>
      </c>
      <c r="B50" s="1268" t="s">
        <v>230</v>
      </c>
      <c r="C50" s="1268" t="s">
        <v>231</v>
      </c>
      <c r="D50" s="1268" t="s">
        <v>232</v>
      </c>
      <c r="E50" s="2291"/>
      <c r="F50" s="2291"/>
      <c r="G50" s="2291"/>
      <c r="H50" s="2291"/>
      <c r="I50" s="2102"/>
      <c r="J50" s="2102"/>
      <c r="K50" s="2128"/>
      <c r="L50" s="1311"/>
      <c r="P50" s="2258"/>
      <c r="Q50" s="2258"/>
      <c r="R50" s="358"/>
      <c r="S50" s="1968"/>
      <c r="T50" s="301"/>
      <c r="U50" s="301"/>
      <c r="V50" s="326"/>
      <c r="W50" s="326"/>
      <c r="X50" s="326"/>
      <c r="Y50" s="329" t="str">
        <f>Z49&amp;"-"&amp;AB49</f>
        <v>-</v>
      </c>
      <c r="Z50" s="2267"/>
      <c r="AA50" s="2108"/>
      <c r="AB50" s="2267"/>
      <c r="AC50" s="2108"/>
      <c r="AD50" s="326"/>
      <c r="AE50" s="326"/>
      <c r="AF50" s="326"/>
      <c r="AG50" s="329" t="str">
        <f>AH49&amp;"-"&amp;AJ49</f>
        <v>-</v>
      </c>
      <c r="AH50" s="2267"/>
      <c r="AI50" s="2108"/>
      <c r="AJ50" s="2289"/>
      <c r="AK50" s="2108"/>
      <c r="AL50" s="1350"/>
      <c r="AM50" s="2255"/>
      <c r="AO50" s="1625"/>
      <c r="AP50" s="1625" t="str">
        <f>IF(T50="","",T50)</f>
        <v/>
      </c>
      <c r="AQ50" s="1625"/>
      <c r="AR50" s="1625"/>
      <c r="AS50" s="1632">
        <v>1</v>
      </c>
    </row>
    <row customHeight="1" ht="11.549999999999999">
      <c r="A51" s="1268" t="s">
        <v>229</v>
      </c>
      <c r="B51" s="1268" t="s">
        <v>230</v>
      </c>
      <c r="C51" s="1268" t="s">
        <v>231</v>
      </c>
      <c r="D51" s="1268" t="s">
        <v>232</v>
      </c>
      <c r="E51" s="2291"/>
      <c r="F51" s="2291"/>
      <c r="G51" s="2291"/>
      <c r="H51" s="2291"/>
      <c r="I51" s="2102"/>
      <c r="J51" s="2128"/>
      <c r="K51" s="1268"/>
      <c r="L51" s="1311"/>
      <c r="P51" s="2258"/>
      <c r="Q51" s="2258"/>
      <c r="R51" s="357"/>
      <c r="S51" s="1279"/>
      <c r="T51" s="289" t="s">
        <v>428</v>
      </c>
      <c r="U51" s="601"/>
      <c r="V51" s="601"/>
      <c r="W51" s="601"/>
      <c r="X51" s="601"/>
      <c r="Y51" s="601"/>
      <c r="Z51" s="601"/>
      <c r="AA51" s="601"/>
      <c r="AB51" s="601"/>
      <c r="AC51" s="601"/>
      <c r="AD51" s="601"/>
      <c r="AE51" s="601"/>
      <c r="AF51" s="601"/>
      <c r="AG51" s="601"/>
      <c r="AH51" s="601"/>
      <c r="AI51" s="601"/>
      <c r="AJ51" s="601"/>
      <c r="AK51" s="601"/>
      <c r="AL51" s="325"/>
      <c r="AM51" s="2256"/>
      <c r="AO51" s="1625"/>
      <c r="AP51" s="1625" t="str">
        <f>IF(T51="","",T51)</f>
        <v>Добавить вид теплоносителя (параметры теплоносителя)</v>
      </c>
      <c r="AQ51" s="1625"/>
      <c r="AR51" s="1625"/>
      <c r="AS51" s="1632">
        <v>11</v>
      </c>
    </row>
    <row customHeight="1" ht="11.549999999999999">
      <c r="A52" s="1268" t="s">
        <v>229</v>
      </c>
      <c r="B52" s="1268" t="s">
        <v>230</v>
      </c>
      <c r="C52" s="1268" t="s">
        <v>231</v>
      </c>
      <c r="D52" s="1268" t="s">
        <v>232</v>
      </c>
      <c r="E52" s="2291"/>
      <c r="F52" s="2291"/>
      <c r="G52" s="2291"/>
      <c r="H52" s="2291"/>
      <c r="I52" s="2128"/>
      <c r="J52" s="1268"/>
      <c r="K52" s="1268"/>
      <c r="L52" s="1311"/>
      <c r="P52" s="2258"/>
      <c r="Q52" s="1955"/>
      <c r="R52" s="357"/>
      <c r="S52" s="1279"/>
      <c r="T52" s="288" t="s">
        <v>429</v>
      </c>
      <c r="U52" s="601"/>
      <c r="V52" s="601"/>
      <c r="W52" s="601"/>
      <c r="X52" s="601"/>
      <c r="Y52" s="601"/>
      <c r="Z52" s="601"/>
      <c r="AA52" s="601"/>
      <c r="AB52" s="601"/>
      <c r="AC52" s="367"/>
      <c r="AD52" s="601"/>
      <c r="AE52" s="601"/>
      <c r="AF52" s="601"/>
      <c r="AG52" s="601"/>
      <c r="AH52" s="601"/>
      <c r="AI52" s="601"/>
      <c r="AJ52" s="601"/>
      <c r="AK52" s="367"/>
      <c r="AL52" s="601"/>
      <c r="AM52" s="304"/>
      <c r="AO52" s="1625"/>
      <c r="AP52" s="1625" t="str">
        <f>IF(T52="","",T52)</f>
        <v>Добавить группу потребителей</v>
      </c>
      <c r="AQ52" s="1625"/>
      <c r="AR52" s="1625"/>
      <c r="AS52" s="1632">
        <v>11</v>
      </c>
    </row>
    <row customHeight="1" ht="14.699999999999998">
      <c r="A53" s="1268" t="s">
        <v>229</v>
      </c>
      <c r="B53" s="1268" t="s">
        <v>230</v>
      </c>
      <c r="C53" s="1268" t="s">
        <v>231</v>
      </c>
      <c r="D53" s="1268" t="s">
        <v>232</v>
      </c>
      <c r="E53" s="2291"/>
      <c r="F53" s="2291"/>
      <c r="G53" s="2291"/>
      <c r="H53" s="2290"/>
      <c r="I53" s="1268"/>
      <c r="J53" s="1268"/>
      <c r="K53" s="1268"/>
      <c r="L53" s="1311"/>
      <c r="M53" s="1611"/>
      <c r="N53" s="1611"/>
      <c r="O53" s="1636"/>
      <c r="P53" s="361"/>
      <c r="Q53" s="376"/>
      <c r="R53" s="356"/>
      <c r="S53" s="1279"/>
      <c r="T53" s="366" t="s">
        <v>430</v>
      </c>
      <c r="U53" s="601"/>
      <c r="V53" s="601"/>
      <c r="W53" s="601"/>
      <c r="X53" s="601"/>
      <c r="Y53" s="601"/>
      <c r="Z53" s="601"/>
      <c r="AA53" s="601"/>
      <c r="AB53" s="601"/>
      <c r="AC53" s="367"/>
      <c r="AD53" s="601"/>
      <c r="AE53" s="601"/>
      <c r="AF53" s="601"/>
      <c r="AG53" s="601"/>
      <c r="AH53" s="601"/>
      <c r="AI53" s="601"/>
      <c r="AJ53" s="601"/>
      <c r="AK53" s="367"/>
      <c r="AL53" s="601"/>
      <c r="AM53" s="304"/>
      <c r="AO53" s="1625"/>
      <c r="AP53" s="1625" t="str">
        <f>IF(T53="","",T53)</f>
        <v>Добавить схему подключения</v>
      </c>
      <c r="AQ53" s="1625"/>
      <c r="AR53" s="1625"/>
      <c r="AS53" s="1632">
        <v>14</v>
      </c>
    </row>
    <row s="1643" customFormat="1" customHeight="1" ht="1.05">
      <c r="A54" s="1268" t="s">
        <v>229</v>
      </c>
      <c r="B54" s="1268" t="s">
        <v>230</v>
      </c>
      <c r="C54" s="1268" t="s">
        <v>231</v>
      </c>
      <c r="D54" s="1975"/>
      <c r="E54" s="2291"/>
      <c r="F54" s="2291"/>
      <c r="G54" s="2290"/>
      <c r="H54" s="1975"/>
      <c r="I54" s="1975"/>
      <c r="J54" s="1975"/>
      <c r="K54" s="1975"/>
      <c r="L54" s="1381"/>
      <c r="M54" s="1611"/>
      <c r="N54" s="1611"/>
      <c r="O54" s="1636"/>
      <c r="P54" s="1317"/>
      <c r="Q54" s="1318"/>
      <c r="R54" s="1317"/>
      <c r="S54" s="1323"/>
      <c r="T54" s="1326" t="s">
        <v>176</v>
      </c>
      <c r="U54" s="1325"/>
      <c r="V54" s="1325"/>
      <c r="W54" s="1325"/>
      <c r="X54" s="1325"/>
      <c r="Y54" s="1325"/>
      <c r="Z54" s="1325"/>
      <c r="AA54" s="1325"/>
      <c r="AB54" s="1325"/>
      <c r="AC54" s="1325"/>
      <c r="AD54" s="1325"/>
      <c r="AE54" s="1325"/>
      <c r="AF54" s="1325"/>
      <c r="AG54" s="1325"/>
      <c r="AH54" s="1325"/>
      <c r="AI54" s="1325"/>
      <c r="AJ54" s="1325"/>
      <c r="AK54" s="1325"/>
      <c r="AL54" s="1325"/>
      <c r="AM54" s="1325"/>
      <c r="AO54" s="1252"/>
      <c r="AP54" s="1252" t="str">
        <f>IF(T54="","",T54)</f>
        <v>Добавить источник для дифференциации</v>
      </c>
      <c r="AQ54" s="1252"/>
      <c r="AR54" s="1252"/>
      <c r="AS54" s="1643">
        <v>1</v>
      </c>
    </row>
    <row s="1643" customFormat="1" customHeight="1" ht="1.05">
      <c r="A55" s="1268" t="s">
        <v>229</v>
      </c>
      <c r="B55" s="1268" t="s">
        <v>230</v>
      </c>
      <c r="C55" s="1975"/>
      <c r="D55" s="1975"/>
      <c r="E55" s="2291"/>
      <c r="F55" s="2290"/>
      <c r="G55" s="1975"/>
      <c r="H55" s="1975"/>
      <c r="I55" s="1975"/>
      <c r="J55" s="1975"/>
      <c r="K55" s="1975"/>
      <c r="L55" s="1381"/>
      <c r="M55" s="1976"/>
      <c r="N55" s="1976"/>
      <c r="O55" s="1636"/>
      <c r="P55" s="1317"/>
      <c r="Q55" s="1318"/>
      <c r="R55" s="1317"/>
      <c r="S55" s="1323"/>
      <c r="T55" s="1326" t="s">
        <v>177</v>
      </c>
      <c r="U55" s="1325"/>
      <c r="V55" s="1325"/>
      <c r="W55" s="1325"/>
      <c r="X55" s="1325"/>
      <c r="Y55" s="1325"/>
      <c r="Z55" s="1325"/>
      <c r="AA55" s="1325"/>
      <c r="AB55" s="1325"/>
      <c r="AC55" s="1325"/>
      <c r="AD55" s="1325"/>
      <c r="AE55" s="1325"/>
      <c r="AF55" s="1325"/>
      <c r="AG55" s="1325"/>
      <c r="AH55" s="1325"/>
      <c r="AI55" s="1325"/>
      <c r="AJ55" s="1325"/>
      <c r="AK55" s="1325"/>
      <c r="AL55" s="1325"/>
      <c r="AM55" s="1325"/>
      <c r="AO55" s="1252"/>
      <c r="AP55" s="1252" t="str">
        <f>IF(T55="","",T55)</f>
        <v>Добавить централизованную систему для дифференциации</v>
      </c>
      <c r="AQ55" s="1252"/>
      <c r="AR55" s="1252"/>
      <c r="AS55" s="1643">
        <v>1</v>
      </c>
    </row>
    <row s="1643" customFormat="1" customHeight="1" ht="1.05">
      <c r="A56" s="1268" t="s">
        <v>229</v>
      </c>
      <c r="B56" s="1268"/>
      <c r="C56" s="1268"/>
      <c r="D56" s="1268"/>
      <c r="E56" s="2290"/>
      <c r="F56" s="1268"/>
      <c r="G56" s="1268"/>
      <c r="H56" s="1268"/>
      <c r="I56" s="1268"/>
      <c r="J56" s="1268"/>
      <c r="K56" s="1268"/>
      <c r="L56" s="1311"/>
      <c r="M56" s="1976"/>
      <c r="N56" s="1976"/>
      <c r="O56" s="1636"/>
      <c r="P56" s="381"/>
      <c r="Q56" s="1345"/>
      <c r="R56" s="381"/>
      <c r="S56" s="1323"/>
      <c r="T56" s="1326" t="s">
        <v>178</v>
      </c>
      <c r="U56" s="1325"/>
      <c r="V56" s="1325"/>
      <c r="W56" s="1325"/>
      <c r="X56" s="1325"/>
      <c r="Y56" s="1325"/>
      <c r="Z56" s="1325"/>
      <c r="AA56" s="1325"/>
      <c r="AB56" s="1325"/>
      <c r="AC56" s="1325"/>
      <c r="AD56" s="1325"/>
      <c r="AE56" s="1325"/>
      <c r="AF56" s="1325"/>
      <c r="AG56" s="1325"/>
      <c r="AH56" s="1325"/>
      <c r="AI56" s="1325"/>
      <c r="AJ56" s="1325"/>
      <c r="AK56" s="1325"/>
      <c r="AL56" s="1325"/>
      <c r="AM56" s="1325"/>
      <c r="AO56" s="1625"/>
      <c r="AP56" s="1625" t="str">
        <f>IF(T56="","",T56)</f>
        <v>Добавить территорию для дифференциации</v>
      </c>
      <c r="AQ56" s="1625"/>
      <c r="AR56" s="1625"/>
      <c r="AS56" s="1637">
        <v>1</v>
      </c>
    </row>
    <row s="1643" customFormat="1" customHeight="1" ht="1.05">
      <c r="A57" s="1975"/>
      <c r="B57" s="1975"/>
      <c r="C57" s="1975"/>
      <c r="D57" s="1975"/>
      <c r="E57" s="1268"/>
      <c r="F57" s="1975"/>
      <c r="G57" s="1975"/>
      <c r="H57" s="1975"/>
      <c r="I57" s="1975"/>
      <c r="J57" s="1975"/>
      <c r="K57" s="1975"/>
      <c r="L57" s="1381"/>
      <c r="M57" s="1976"/>
      <c r="N57" s="1976"/>
      <c r="O57" s="1636"/>
      <c r="P57" s="1317"/>
      <c r="Q57" s="1318"/>
      <c r="R57" s="1317"/>
      <c r="S57" s="1323"/>
      <c r="T57" s="1326" t="s">
        <v>184</v>
      </c>
      <c r="U57" s="1325"/>
      <c r="V57" s="1325"/>
      <c r="W57" s="1325"/>
      <c r="X57" s="1325"/>
      <c r="Y57" s="1325"/>
      <c r="Z57" s="1325"/>
      <c r="AA57" s="1325"/>
      <c r="AB57" s="1325"/>
      <c r="AC57" s="1325"/>
      <c r="AD57" s="1325"/>
      <c r="AE57" s="1325"/>
      <c r="AF57" s="1325"/>
      <c r="AG57" s="1325"/>
      <c r="AH57" s="1325"/>
      <c r="AI57" s="1325"/>
      <c r="AJ57" s="1325"/>
      <c r="AK57" s="1325"/>
      <c r="AL57" s="1325"/>
      <c r="AM57" s="1325"/>
      <c r="AO57" s="1252"/>
      <c r="AP57" s="1252" t="str">
        <f>IF(T57="","",T57)</f>
        <v>Добавить наименование тарифа</v>
      </c>
      <c r="AQ57" s="1252"/>
      <c r="AR57" s="1252"/>
      <c r="AS57" s="1643">
        <v>1</v>
      </c>
    </row>
    <row customHeight="1" ht="11.549999999999999">
      <c r="M58" s="1632"/>
      <c r="N58" s="1632"/>
      <c r="O58" s="1636"/>
      <c r="P58" s="1632"/>
      <c r="Q58" s="1632"/>
      <c r="R58" s="1632"/>
      <c r="S58" s="1632"/>
      <c r="AN58" s="1632"/>
      <c r="AO58" s="1632"/>
      <c r="AP58" s="1632"/>
      <c r="AQ58" s="1632"/>
      <c r="AR58" s="1632"/>
      <c r="AS58" s="1632">
        <v>11</v>
      </c>
    </row>
    <row customHeight="1" ht="28.5">
      <c r="O59" s="1636"/>
      <c r="S59" s="1254"/>
      <c r="T59" s="2286"/>
      <c r="U59" s="2286"/>
      <c r="V59" s="2286"/>
      <c r="W59" s="2286"/>
      <c r="X59" s="2286"/>
      <c r="Y59" s="2286"/>
      <c r="Z59" s="2286"/>
      <c r="AA59" s="2286"/>
      <c r="AB59" s="2286"/>
      <c r="AC59" s="2286"/>
      <c r="AD59" s="2286"/>
      <c r="AE59" s="2286"/>
      <c r="AF59" s="2286"/>
      <c r="AG59" s="2286"/>
      <c r="AH59" s="2286"/>
      <c r="AI59" s="2286"/>
      <c r="AJ59" s="2286"/>
      <c r="AK59" s="2286"/>
      <c r="AL59" s="2286"/>
      <c r="AM59" s="2286"/>
      <c r="AS59" s="1632">
        <v>27</v>
      </c>
    </row>
    <row customHeight="1" ht="65.25">
      <c r="O60" s="1636"/>
      <c r="T60" s="2286"/>
      <c r="U60" s="2286"/>
      <c r="V60" s="2286"/>
      <c r="W60" s="2286"/>
      <c r="X60" s="2286"/>
      <c r="Y60" s="2286"/>
      <c r="Z60" s="2286"/>
      <c r="AA60" s="2286"/>
      <c r="AB60" s="2286"/>
      <c r="AC60" s="2286"/>
      <c r="AD60" s="2286"/>
      <c r="AE60" s="2286"/>
      <c r="AF60" s="2286"/>
      <c r="AG60" s="2286"/>
      <c r="AH60" s="2286"/>
      <c r="AI60" s="2286"/>
      <c r="AJ60" s="2286"/>
      <c r="AK60" s="2286"/>
      <c r="AL60" s="2286"/>
      <c r="AM60" s="2286"/>
      <c r="AS60" s="1632">
        <v>62</v>
      </c>
    </row>
    <row customHeight="1" ht="14.699999999999998">
      <c r="O61" s="1636"/>
      <c r="AS61" s="1632">
        <v>14</v>
      </c>
    </row>
    <row customHeight="1" ht="18.75">
      <c r="O62" s="1636"/>
      <c r="S62" s="1254"/>
      <c r="T62" s="2286"/>
      <c r="U62" s="2286"/>
      <c r="V62" s="2286"/>
      <c r="W62" s="2286"/>
      <c r="X62" s="2286"/>
      <c r="Y62" s="2286"/>
      <c r="Z62" s="2286"/>
      <c r="AA62" s="2286"/>
      <c r="AB62" s="2286"/>
      <c r="AC62" s="2286"/>
      <c r="AD62" s="2286"/>
      <c r="AE62" s="2286"/>
      <c r="AF62" s="2286"/>
      <c r="AG62" s="2286"/>
      <c r="AH62" s="2286"/>
      <c r="AI62" s="2286"/>
      <c r="AJ62" s="2286"/>
      <c r="AK62" s="2286"/>
      <c r="AL62" s="2286"/>
      <c r="AM62" s="2286"/>
      <c r="AS62" s="1632">
        <v>18</v>
      </c>
    </row>
    <row customHeight="1" ht="18.75">
      <c r="O63" s="1636"/>
      <c r="T63" s="2286"/>
      <c r="U63" s="2286"/>
      <c r="V63" s="2286"/>
      <c r="W63" s="2286"/>
      <c r="X63" s="2286"/>
      <c r="Y63" s="2286"/>
      <c r="Z63" s="2286"/>
      <c r="AA63" s="2286"/>
      <c r="AB63" s="2286"/>
      <c r="AC63" s="2286"/>
      <c r="AD63" s="2286"/>
      <c r="AE63" s="2286"/>
      <c r="AF63" s="2286"/>
      <c r="AG63" s="2286"/>
      <c r="AH63" s="2286"/>
      <c r="AI63" s="2286"/>
      <c r="AJ63" s="2286"/>
      <c r="AK63" s="2286"/>
      <c r="AL63" s="2286"/>
      <c r="AM63" s="2286"/>
      <c r="AS63" s="1632">
        <v>18</v>
      </c>
    </row>
    <row customHeight="1" ht="29.25">
      <c r="O64" s="1636"/>
      <c r="S64" s="1254"/>
      <c r="T64" s="2286"/>
      <c r="U64" s="2286"/>
      <c r="V64" s="2286"/>
      <c r="W64" s="2286"/>
      <c r="X64" s="2286"/>
      <c r="Y64" s="2286"/>
      <c r="Z64" s="2286"/>
      <c r="AA64" s="2286"/>
      <c r="AB64" s="2286"/>
      <c r="AC64" s="2286"/>
      <c r="AD64" s="2286"/>
      <c r="AE64" s="2286"/>
      <c r="AF64" s="2286"/>
      <c r="AG64" s="2286"/>
      <c r="AH64" s="2286"/>
      <c r="AI64" s="2286"/>
      <c r="AJ64" s="2286"/>
      <c r="AK64" s="2286"/>
      <c r="AL64" s="2286"/>
      <c r="AM64" s="2286"/>
      <c r="AS64" s="1632">
        <v>28</v>
      </c>
    </row>
    <row customHeight="1" ht="22.5" hidden="1">
      <c r="A65" s="1632" t="s">
        <v>83</v>
      </c>
      <c r="B65" s="1632">
        <v>0</v>
      </c>
      <c r="C65" s="1632">
        <v>0</v>
      </c>
      <c r="D65" s="1632">
        <v>0</v>
      </c>
      <c r="E65" s="1632">
        <v>0</v>
      </c>
      <c r="F65" s="1632">
        <v>0</v>
      </c>
      <c r="G65" s="1632">
        <v>0</v>
      </c>
      <c r="H65" s="1632">
        <v>0</v>
      </c>
      <c r="I65" s="1632">
        <v>0</v>
      </c>
      <c r="J65" s="1632">
        <v>0</v>
      </c>
      <c r="K65" s="1632">
        <v>0</v>
      </c>
      <c r="L65" s="1940">
        <v>0</v>
      </c>
      <c r="M65" s="1966">
        <v>0</v>
      </c>
      <c r="N65" s="1966">
        <v>0</v>
      </c>
      <c r="O65" s="1966">
        <v>0</v>
      </c>
      <c r="P65" s="1966">
        <v>3</v>
      </c>
      <c r="Q65" s="345">
        <v>3</v>
      </c>
      <c r="R65" s="345">
        <v>3</v>
      </c>
      <c r="S65" s="582">
        <v>12</v>
      </c>
      <c r="T65" s="1632">
        <v>31</v>
      </c>
      <c r="U65" s="1632">
        <v>0</v>
      </c>
      <c r="V65" s="1632">
        <v>0</v>
      </c>
      <c r="W65" s="1632">
        <v>0</v>
      </c>
      <c r="X65" s="1632">
        <v>0</v>
      </c>
      <c r="Y65" s="1632">
        <v>0</v>
      </c>
      <c r="Z65" s="1632">
        <v>0</v>
      </c>
      <c r="AA65" s="1632">
        <v>0</v>
      </c>
      <c r="AB65" s="1632">
        <v>0</v>
      </c>
      <c r="AC65" s="1632">
        <v>0</v>
      </c>
      <c r="AD65" s="1632">
        <v>24</v>
      </c>
      <c r="AE65" s="1632">
        <v>0</v>
      </c>
      <c r="AF65" s="1632">
        <v>24</v>
      </c>
      <c r="AG65" s="1632">
        <v>24</v>
      </c>
      <c r="AH65" s="1632">
        <v>11</v>
      </c>
      <c r="AI65" s="1632">
        <v>3</v>
      </c>
      <c r="AJ65" s="1632">
        <v>11</v>
      </c>
      <c r="AK65" s="1632">
        <v>0</v>
      </c>
      <c r="AL65" s="1632">
        <v>4</v>
      </c>
      <c r="AM65" s="1632">
        <v>115</v>
      </c>
      <c r="AN65" s="1637">
        <v>10</v>
      </c>
      <c r="AO65" s="1637">
        <v>10</v>
      </c>
      <c r="AP65" s="1637">
        <v>10</v>
      </c>
      <c r="AQ65" s="1637">
        <v>10</v>
      </c>
      <c r="AR65" s="1637">
        <v>10</v>
      </c>
      <c r="AS65" s="1632">
        <v>23</v>
      </c>
    </row>
  </sheetData>
  <sheetProtection sort="0" autoFilter="0" insertRows="0" insertColumns="1" deleteRows="0" deleteColumns="0"/>
  <mergeCells count="112">
    <mergeCell ref="E2:E15"/>
    <mergeCell ref="V2:AC2"/>
    <mergeCell ref="AD2:AL2"/>
    <mergeCell ref="F3:F14"/>
    <mergeCell ref="V3:AC3"/>
    <mergeCell ref="AD3:AL3"/>
    <mergeCell ref="G4:G13"/>
    <mergeCell ref="V4:AC4"/>
    <mergeCell ref="AD4:AL4"/>
    <mergeCell ref="H5:H12"/>
    <mergeCell ref="V5:AC5"/>
    <mergeCell ref="AD5:AL5"/>
    <mergeCell ref="I6:I11"/>
    <mergeCell ref="P6:P11"/>
    <mergeCell ref="V6:AC6"/>
    <mergeCell ref="AD6:AL6"/>
    <mergeCell ref="J7:J10"/>
    <mergeCell ref="Q7:Q10"/>
    <mergeCell ref="V7:AC7"/>
    <mergeCell ref="AD7:AL7"/>
    <mergeCell ref="AK8:AK9"/>
    <mergeCell ref="AM8:AM10"/>
    <mergeCell ref="AH17:AH18"/>
    <mergeCell ref="AI17:AI18"/>
    <mergeCell ref="AJ17:AJ18"/>
    <mergeCell ref="AK17:AK18"/>
    <mergeCell ref="K8:K9"/>
    <mergeCell ref="Z8:Z9"/>
    <mergeCell ref="AA8:AA9"/>
    <mergeCell ref="AB8:AB9"/>
    <mergeCell ref="AC8:AC9"/>
    <mergeCell ref="AH8:AH9"/>
    <mergeCell ref="S26:AJ26"/>
    <mergeCell ref="S27:AJ27"/>
    <mergeCell ref="S29:T29"/>
    <mergeCell ref="V29:AB29"/>
    <mergeCell ref="AD29:AJ29"/>
    <mergeCell ref="S30:T30"/>
    <mergeCell ref="V30:AB30"/>
    <mergeCell ref="AD30:AJ30"/>
    <mergeCell ref="AI8:AI9"/>
    <mergeCell ref="AJ8:AJ9"/>
    <mergeCell ref="S34:T34"/>
    <mergeCell ref="V34:AB34"/>
    <mergeCell ref="AD34:AJ34"/>
    <mergeCell ref="S35:T35"/>
    <mergeCell ref="V35:AB35"/>
    <mergeCell ref="AD35:AJ35"/>
    <mergeCell ref="S31:T31"/>
    <mergeCell ref="V31:AB31"/>
    <mergeCell ref="AD31:AJ31"/>
    <mergeCell ref="S32:T32"/>
    <mergeCell ref="V32:AB32"/>
    <mergeCell ref="AD32:AJ32"/>
    <mergeCell ref="V37:AC37"/>
    <mergeCell ref="AD37:AK37"/>
    <mergeCell ref="S38:AL38"/>
    <mergeCell ref="AM38:AM41"/>
    <mergeCell ref="S39:S41"/>
    <mergeCell ref="T39:T41"/>
    <mergeCell ref="V39:AB39"/>
    <mergeCell ref="AC39:AC41"/>
    <mergeCell ref="AD39:AJ39"/>
    <mergeCell ref="AK39:AK41"/>
    <mergeCell ref="E43:E56"/>
    <mergeCell ref="V43:AC43"/>
    <mergeCell ref="AD43:AL43"/>
    <mergeCell ref="F44:F55"/>
    <mergeCell ref="V44:AC44"/>
    <mergeCell ref="AD44:AL44"/>
    <mergeCell ref="G45:G54"/>
    <mergeCell ref="AL39:AL41"/>
    <mergeCell ref="V40:V41"/>
    <mergeCell ref="W40:W41"/>
    <mergeCell ref="X40:Y40"/>
    <mergeCell ref="Z40:AB40"/>
    <mergeCell ref="AD40:AD41"/>
    <mergeCell ref="AE40:AE41"/>
    <mergeCell ref="AF40:AG40"/>
    <mergeCell ref="AH40:AJ40"/>
    <mergeCell ref="AA41:AB41"/>
    <mergeCell ref="H46:H53"/>
    <mergeCell ref="V46:AC46"/>
    <mergeCell ref="AD46:AL46"/>
    <mergeCell ref="I47:I52"/>
    <mergeCell ref="P47:P52"/>
    <mergeCell ref="V47:AC47"/>
    <mergeCell ref="AD47:AL47"/>
    <mergeCell ref="J48:J51"/>
    <mergeCell ref="AI41:AJ41"/>
    <mergeCell ref="AA42:AB42"/>
    <mergeCell ref="AI42:AJ42"/>
    <mergeCell ref="K49:K50"/>
    <mergeCell ref="Z49:Z50"/>
    <mergeCell ref="AA49:AA50"/>
    <mergeCell ref="AB49:AB50"/>
    <mergeCell ref="AC49:AC50"/>
    <mergeCell ref="AH49:AH50"/>
    <mergeCell ref="AI49:AI50"/>
    <mergeCell ref="V45:AC45"/>
    <mergeCell ref="AD45:AL45"/>
    <mergeCell ref="T63:AM63"/>
    <mergeCell ref="T64:AM64"/>
    <mergeCell ref="AJ49:AJ50"/>
    <mergeCell ref="AK49:AK50"/>
    <mergeCell ref="AM49:AM51"/>
    <mergeCell ref="T59:AM59"/>
    <mergeCell ref="T60:AM60"/>
    <mergeCell ref="T62:AM62"/>
    <mergeCell ref="Q48:Q51"/>
    <mergeCell ref="V48:AC48"/>
    <mergeCell ref="AD48:AL48"/>
  </mergeCells>
  <dataValidations count="8">
    <dataValidation type="list" allowBlank="1" showInputMessage="1" errorTitle="Ошибка" error="Выберите значение из списка" prompt="Выберите значение из списка" sqref="V983088:AL983088 V65584:AL65584 V131120:AL131120 V196656:AL196656 V262192:AL262192 V327728:AL327728 V393264:AL393264 V458800:AL458800 V524336:AL524336 V589872:AL589872 V655408:AL655408 V720944:AL720944 V786480:AL786480 V852016:AL852016 V917552:AL917552">
      <formula1>kind_of_cons</formula1>
    </dataValidation>
    <dataValidation allowBlank="1" sqref="S131123:AM131129 S196659:AM196665 S262195:AM262201 S327731:AM327737 S393267:AM393273 S458803:AM458809 S524339:AM524345 S589875:AM589881 S655411:AM655417 S720947:AM720953 S786483:AM786489 S852019:AM852025 S917555:AM917561 S983091:AM983097 S65587:AM65593"/>
    <dataValidation type="list" allowBlank="1" showInputMessage="1" showErrorMessage="1" errorTitle="Ошибка" error="Выберите значение из списка" sqref="V983087:W983087 V65583:W65583 V131119:W131119 V196655:W196655 V262191:W262191 V327727:W327727 V393263:W393263 V458799:W458799 V524335:W524335 V589871:W589871 V655407:W655407 V720943:W720943 V786479:W786479 V852015:W852015 V917551:W917551 AD983087:AE983087 AD65583:AE65583 AD131119:AE131119 AD196655:AE196655 AD262191:AE262191 AD327727:AE327727 AD393263:AE393263 AD458799:AE458799 AD524335:AE524335 AD589871:AE589871 AD655407:AE655407 AD720943:AE720943 AD786479:AE786479 AD852015:AE852015 AD917551:AE917551">
      <formula1>kind_of_scheme_in</formula1>
    </dataValidation>
    <dataValidation type="textLength" operator="lessThanOrEqual" allowBlank="1" showInputMessage="1" showErrorMessage="1" errorTitle="Ошибка" error="Допускается ввод не более 900 символов!" sqref="AM65579:AM65586 AM131115:AM131122 AM196651:AM196658 AM262187:AM262194 AM327723:AM327730 AM393259:AM393266 AM458795:AM458802 AM524331:AM524338 AM589867:AM589874 AM655403:AM655410 AM720939:AM720946 AM786475:AM786482 AM852011:AM852018 AM917547:AM917554 AM983083:AM983090">
      <formula1>900</formula1>
    </dataValidation>
    <dataValidation type="list" allowBlank="1" showInputMessage="1" showErrorMessage="1" errorTitle="Ошибка" error="Выберите значение из списка" sqref="T65585 T131121 T196657 T262193 T327729 T393265 T458801 T524337 T589873 T655409 T720945 T786481 T852017 T917553 T983089">
      <formula1>kind_of_heat_transfer</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5 Z131121 Z196657 Z262193 Z327729 Z393265 Z458801 Z524337 Z589873 Z655409 Z720945 Z786481 Z852017 Z917553 Z983089 AB65585 AB131121 AB196657 AB262193 AB327729 AB393265 AB458801 AB524337 AB589873 AB655409 AB720945 AB786481 AB852017 AB917553 AB983089 Z8 AH65585 AH131121 AH196657 AH262193 AH327729 AH393265 AH458801 AH524337 AH589873 AH655409 AH720945 AH786481 AH852017 AH917553 AH983089 AJ65585 AJ131121 AJ196657 AJ262193 AJ327729 AJ393265 AJ458801 AJ524337 AJ589873 AJ655409 AJ720945 AJ786481 AJ852017 AJ917553 AJ983089 AJ49 AH49 AH8 AJ8 AB8 AH17 AJ17 Z49 AB49"/>
    <dataValidation allowBlank="1" showInputMessage="1" showErrorMessage="1" prompt="Для выбора выполните двойной щелчок левой клавиши мыши по соответствующей ячейке." sqref="AA65585 AA131121 AA196657 AA262193 AA327729 AA393265 AA458801 AA524337 AA589873 AA655409 AA720945 AA786481 AA852017 AA917553 AA983089 AC131121 AC458801 AC196657 AC262193 AC327729 AC393265 AC524337 AC589873 AC655409 AC720945 AC786481 AC852017 AC917553 AC983089 AC65585 AI65585 AI131121 AI196657 AI262193 AI327729 AI393265 AI458801 AI524337 AI589873 AI655409 AI720945 AI786481 AI852017 AI917553 AI983089 AK327729 AK393265 AK49 AK524337 AK8 AK589873 AK655409 AK17 AK720945 AK786481 AK852017 AK917553 AK983089 AK65585 AK131121 AI49 AK458801 AI8 AC8 AA8 AI17 AK196657 AA49 AC49 AK262193"/>
    <dataValidation allowBlank="1" promptTitle="checkPeriodRange" sqref="Y65586 Y131122 Y196658 Y262194 Y327730 Y393266 Y458802 Y524338 Y589874 Y655410 Y720946 Y786482 Y852018 Y917554 Y983090 Y9 AG65586 AG131122 AG196658 AG262194 AG327730 AG393266 AG458802 AG524338 AG589874 AG655410 AG720946 AG786482 AG852018 AG917554 AG983090 AG9 AG50 AG18 Y50"/>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62AF4E2C-B698-A6F8-4321-E3C615BED4F2}" mc:Ignorable="x14ac xr xr2 xr3">
  <sheetPr>
    <tabColor theme="6" tint="0.4"/>
  </sheetPr>
  <dimension ref="A1:AS65"/>
  <sheetViews>
    <sheetView showGridLines="0" zoomScale="90" workbookViewId="0">
      <pane xSplit="29" ySplit="42" topLeftCell="AD43" activePane="bottomRight" state="frozen"/>
      <selection pane="bottomLeft" activeCell="A43" sqref="A43"/>
      <selection pane="topRight" activeCell="AD1" sqref="AD1"/>
      <selection pane="bottomRight" activeCell="A1" sqref="A1"/>
    </sheetView>
  </sheetViews>
  <sheetFormatPr defaultColWidth="10.57421875" customHeight="1" defaultRowHeight="14.25"/>
  <cols>
    <col min="1" max="1" style="1367" width="10.57421875" hidden="1"/>
    <col min="2" max="2" style="1367" width="11.00390625" hidden="1" customWidth="1"/>
    <col min="3" max="3" style="1367" width="10.57421875" hidden="1"/>
    <col min="4" max="4" style="1367" width="11.8515625" hidden="1" customWidth="1"/>
    <col min="5" max="5" style="1367" width="10.00390625" hidden="1" customWidth="1"/>
    <col min="6" max="6" style="1367" width="8.7109375" hidden="1" customWidth="1"/>
    <col min="7" max="7" style="1367" width="7.57421875" hidden="1" customWidth="1"/>
    <col min="8" max="8" style="1367" width="11.421875" hidden="1" customWidth="1"/>
    <col min="9" max="9" style="1367" width="12.00390625" hidden="1" customWidth="1"/>
    <col min="10" max="10" style="1367" width="9.8515625" hidden="1" customWidth="1"/>
    <col min="11" max="11" style="1367" width="11.421875" hidden="1" customWidth="1"/>
    <col min="12" max="12" style="2608" width="19.140625" hidden="1" customWidth="1"/>
    <col min="13" max="14" style="1777" width="12.28125" hidden="1" customWidth="1"/>
    <col min="15" max="15" style="1777" width="23.421875" hidden="1" customWidth="1"/>
    <col min="16" max="16" style="2398" width="3.00390625" customWidth="1"/>
    <col min="17" max="18" style="345" width="3.00390625" customWidth="1"/>
    <col min="19" max="19" style="2408" width="12.00390625" customWidth="1"/>
    <col min="20" max="20" style="1636" width="31.00390625" customWidth="1"/>
    <col min="21" max="21" style="1636" width="0.7109375" hidden="1" customWidth="1"/>
    <col min="22" max="22" style="1636" width="1.7109375" hidden="1" customWidth="1"/>
    <col min="23" max="23" style="1636" width="24.7109375" hidden="1" customWidth="1"/>
    <col min="24" max="25" style="1636" width="0.140625" hidden="1" customWidth="1"/>
    <col min="26" max="26" style="1636" width="11.7109375" hidden="1" customWidth="1"/>
    <col min="27" max="27" style="1636" width="3.7109375" hidden="1" customWidth="1"/>
    <col min="28" max="28" style="1636" width="11.7109375" hidden="1" customWidth="1"/>
    <col min="29" max="29" style="1636" width="8.57421875" hidden="1" customWidth="1"/>
    <col min="30" max="30" style="1636" width="0.140625" customWidth="1"/>
    <col min="31" max="31" style="1636" width="24.00390625" customWidth="1"/>
    <col min="32" max="33" style="1636" width="0.140625" customWidth="1"/>
    <col min="34" max="34" style="1636" width="11.00390625" customWidth="1"/>
    <col min="35" max="35" style="1636" width="3.7109375" customWidth="1"/>
    <col min="36" max="36" style="1636" width="11.00390625" customWidth="1"/>
    <col min="37" max="37" style="1636" width="8.57421875" hidden="1" customWidth="1"/>
    <col min="38" max="38" style="1636" width="4.00390625" customWidth="1"/>
    <col min="39" max="39" style="1636" width="115.00390625" customWidth="1"/>
    <col min="40" max="44" style="1643" width="10.00390625" customWidth="1"/>
    <col min="45" max="45" style="1636" width="10.57421875" hidden="1"/>
  </cols>
  <sheetData>
    <row customHeight="1" ht="22.5" hidden="1">
      <c r="Y1" s="328"/>
      <c r="Z1" s="328"/>
      <c r="AG1" s="328"/>
      <c r="AH1" s="328"/>
      <c r="AS1" s="1156" t="s">
        <v>14</v>
      </c>
    </row>
    <row customHeight="1" ht="21" hidden="1">
      <c r="A2" s="1364"/>
      <c r="B2" s="1364"/>
      <c r="C2" s="1364"/>
      <c r="D2" s="1364"/>
      <c r="E2" s="2259">
        <v>1</v>
      </c>
      <c r="F2" s="1364"/>
      <c r="G2" s="1364"/>
      <c r="H2" s="1364"/>
      <c r="I2" s="1364"/>
      <c r="J2" s="1364"/>
      <c r="K2" s="1364"/>
      <c r="L2" s="1365"/>
      <c r="M2" s="1366"/>
      <c r="N2" s="1366"/>
      <c r="O2" s="1366"/>
      <c r="P2" s="362"/>
      <c r="Q2" s="361"/>
      <c r="R2" s="356"/>
      <c r="S2" s="1337">
        <f>INDEX(PT_DIFFERENTIATION_NUM_NTAR,MATCH(A2,PT_DIFFERENTIATION_NTAR_ID,0))</f>
      </c>
      <c r="T2" s="299" t="s">
        <v>131</v>
      </c>
      <c r="U2" s="301"/>
      <c r="V2" s="2243"/>
      <c r="W2" s="2244"/>
      <c r="X2" s="2244"/>
      <c r="Y2" s="2244"/>
      <c r="Z2" s="2244"/>
      <c r="AA2" s="2244"/>
      <c r="AB2" s="2244"/>
      <c r="AC2" s="2245"/>
      <c r="AD2" s="2243">
        <f>INDEX(PT_DIFFERENTIATION_NTAR,MATCH(A2,PT_DIFFERENTIATION_NTAR_ID,0))</f>
      </c>
      <c r="AE2" s="2244"/>
      <c r="AF2" s="2244"/>
      <c r="AG2" s="2244"/>
      <c r="AH2" s="2244"/>
      <c r="AI2" s="2244"/>
      <c r="AJ2" s="2244"/>
      <c r="AK2" s="2244"/>
      <c r="AL2" s="2245"/>
      <c r="AM2" s="1259" t="s">
        <v>413</v>
      </c>
      <c r="AO2" s="501"/>
      <c r="AP2" s="501" t="str">
        <f>IF(T2="","",T2)</f>
        <v>Наименование тарифа</v>
      </c>
      <c r="AQ2" s="501"/>
      <c r="AR2" s="501"/>
      <c r="AS2" s="1156">
        <v>0</v>
      </c>
    </row>
    <row customHeight="1" ht="21" hidden="1">
      <c r="A3" s="1364"/>
      <c r="B3" s="1364"/>
      <c r="C3" s="1364"/>
      <c r="D3" s="1364"/>
      <c r="E3" s="2260"/>
      <c r="F3" s="2259">
        <v>1</v>
      </c>
      <c r="G3" s="1364"/>
      <c r="H3" s="1364"/>
      <c r="I3" s="1364"/>
      <c r="J3" s="1364"/>
      <c r="K3" s="1364"/>
      <c r="L3" s="1365"/>
      <c r="M3" s="1366"/>
      <c r="N3" s="1366"/>
      <c r="O3" s="1366"/>
      <c r="P3" s="1333"/>
      <c r="Q3" s="353"/>
      <c r="R3" s="354"/>
      <c r="S3" s="1337">
        <f>INDEX(PT_DIFFERENTIATION_NUM_TER,MATCH(B3,PT_DIFFERENTIATION_TER_ID,0))</f>
      </c>
      <c r="T3" s="309" t="s">
        <v>414</v>
      </c>
      <c r="U3" s="301"/>
      <c r="V3" s="2243"/>
      <c r="W3" s="2244"/>
      <c r="X3" s="2244"/>
      <c r="Y3" s="2244"/>
      <c r="Z3" s="2244"/>
      <c r="AA3" s="2244"/>
      <c r="AB3" s="2244"/>
      <c r="AC3" s="2245"/>
      <c r="AD3" s="2243">
        <f>INDEX(PT_DIFFERENTIATION_TER,MATCH(B3,PT_DIFFERENTIATION_TER_ID,0))</f>
      </c>
      <c r="AE3" s="2244"/>
      <c r="AF3" s="2244"/>
      <c r="AG3" s="2244"/>
      <c r="AH3" s="2244"/>
      <c r="AI3" s="2244"/>
      <c r="AJ3" s="2244"/>
      <c r="AK3" s="2244"/>
      <c r="AL3" s="2245"/>
      <c r="AM3" s="1259" t="s">
        <v>415</v>
      </c>
      <c r="AO3" s="501"/>
      <c r="AP3" s="501" t="str">
        <f>IF(T3="","",T3)</f>
        <v>Территория действия тарифа</v>
      </c>
      <c r="AQ3" s="501"/>
      <c r="AR3" s="501"/>
      <c r="AS3" s="1156">
        <v>0</v>
      </c>
    </row>
    <row customHeight="1" ht="23.25" hidden="1">
      <c r="A4" s="1364"/>
      <c r="B4" s="1364"/>
      <c r="C4" s="1364"/>
      <c r="D4" s="1364"/>
      <c r="E4" s="2260"/>
      <c r="F4" s="2260"/>
      <c r="G4" s="2259">
        <v>1</v>
      </c>
      <c r="H4" s="1364"/>
      <c r="I4" s="1364"/>
      <c r="J4" s="1364"/>
      <c r="K4" s="1364"/>
      <c r="L4" s="1365"/>
      <c r="M4" s="1366"/>
      <c r="N4" s="1366"/>
      <c r="O4" s="1366"/>
      <c r="P4" s="355"/>
      <c r="Q4" s="353"/>
      <c r="R4" s="354"/>
      <c r="S4" s="1337">
        <f>INDEX(PT_DIFFERENTIATION_NUM_CS,MATCH(C4,PT_DIFFERENTIATION_CS_ID,0))</f>
      </c>
      <c r="T4" s="310" t="s">
        <v>416</v>
      </c>
      <c r="U4" s="301"/>
      <c r="V4" s="2243"/>
      <c r="W4" s="2244"/>
      <c r="X4" s="2244"/>
      <c r="Y4" s="2244"/>
      <c r="Z4" s="2244"/>
      <c r="AA4" s="2244"/>
      <c r="AB4" s="2244"/>
      <c r="AC4" s="2245"/>
      <c r="AD4" s="2243">
        <f>INDEX(PT_DIFFERENTIATION_CS,MATCH(C4,PT_DIFFERENTIATION_CS_ID,0))</f>
      </c>
      <c r="AE4" s="2244"/>
      <c r="AF4" s="2244"/>
      <c r="AG4" s="2244"/>
      <c r="AH4" s="2244"/>
      <c r="AI4" s="2244"/>
      <c r="AJ4" s="2244"/>
      <c r="AK4" s="2244"/>
      <c r="AL4" s="2245"/>
      <c r="AM4" s="1259" t="s">
        <v>417</v>
      </c>
      <c r="AO4" s="501"/>
      <c r="AP4" s="501" t="str">
        <f>IF(T4="","",T4)</f>
        <v>Наименование системы теплоснабжения </v>
      </c>
      <c r="AQ4" s="501"/>
      <c r="AR4" s="501"/>
      <c r="AS4" s="1156">
        <v>0</v>
      </c>
    </row>
    <row customHeight="1" ht="21" hidden="1">
      <c r="A5" s="1364"/>
      <c r="B5" s="1364"/>
      <c r="C5" s="1364"/>
      <c r="D5" s="1364"/>
      <c r="E5" s="2260"/>
      <c r="F5" s="2260"/>
      <c r="G5" s="2260"/>
      <c r="H5" s="2259">
        <v>1</v>
      </c>
      <c r="I5" s="1364"/>
      <c r="J5" s="1364"/>
      <c r="K5" s="1364"/>
      <c r="L5" s="1365"/>
      <c r="M5" s="1366"/>
      <c r="N5" s="1366"/>
      <c r="O5" s="1366"/>
      <c r="P5" s="355"/>
      <c r="Q5" s="353"/>
      <c r="R5" s="354"/>
      <c r="S5" s="1337">
        <f>INDEX(PT_DIFFERENTIATION_NUM_IST_TE,MATCH(D5,PT_DIFFERENTIATION_IST_TE_ID,0))</f>
      </c>
      <c r="T5" s="311" t="s">
        <v>418</v>
      </c>
      <c r="U5" s="301"/>
      <c r="V5" s="2243"/>
      <c r="W5" s="2244"/>
      <c r="X5" s="2244"/>
      <c r="Y5" s="2244"/>
      <c r="Z5" s="2244"/>
      <c r="AA5" s="2244"/>
      <c r="AB5" s="2244"/>
      <c r="AC5" s="2245"/>
      <c r="AD5" s="2243">
        <f>INDEX(PT_DIFFERENTIATION_IST_TE,MATCH(D5,PT_DIFFERENTIATION_IST_TE_ID,0))</f>
      </c>
      <c r="AE5" s="2244"/>
      <c r="AF5" s="2244"/>
      <c r="AG5" s="2244"/>
      <c r="AH5" s="2244"/>
      <c r="AI5" s="2244"/>
      <c r="AJ5" s="2244"/>
      <c r="AK5" s="2244"/>
      <c r="AL5" s="2245"/>
      <c r="AM5" s="1259" t="s">
        <v>419</v>
      </c>
      <c r="AO5" s="501"/>
      <c r="AP5" s="501" t="str">
        <f>IF(T5="","",T5)</f>
        <v>Источник тепловой энергии  </v>
      </c>
      <c r="AQ5" s="501"/>
      <c r="AR5" s="501"/>
      <c r="AS5" s="1156">
        <v>0</v>
      </c>
    </row>
    <row customHeight="1" ht="47.25" hidden="1">
      <c r="A6" s="1364"/>
      <c r="B6" s="1364"/>
      <c r="C6" s="1364"/>
      <c r="D6" s="1364"/>
      <c r="E6" s="2260"/>
      <c r="F6" s="2260"/>
      <c r="G6" s="2260"/>
      <c r="H6" s="2260"/>
      <c r="I6" s="2257">
        <f>S5&amp;".1"</f>
      </c>
      <c r="J6" s="1364"/>
      <c r="K6" s="1364"/>
      <c r="L6" s="1365" t="s">
        <v>420</v>
      </c>
      <c r="M6" s="538"/>
      <c r="P6" s="2258">
        <v>1</v>
      </c>
      <c r="Q6" s="1332"/>
      <c r="R6" s="357"/>
      <c r="S6" s="1337">
        <f>$I6</f>
      </c>
      <c r="T6" s="286" t="s">
        <v>421</v>
      </c>
      <c r="U6" s="301"/>
      <c r="V6" s="2246"/>
      <c r="W6" s="2247"/>
      <c r="X6" s="2247"/>
      <c r="Y6" s="2247"/>
      <c r="Z6" s="2247"/>
      <c r="AA6" s="2247"/>
      <c r="AB6" s="2247"/>
      <c r="AC6" s="2248"/>
      <c r="AD6" s="2246"/>
      <c r="AE6" s="2247"/>
      <c r="AF6" s="2247"/>
      <c r="AG6" s="2247"/>
      <c r="AH6" s="2247"/>
      <c r="AI6" s="2247"/>
      <c r="AJ6" s="2247"/>
      <c r="AK6" s="2247"/>
      <c r="AL6" s="2248"/>
      <c r="AM6" s="1259" t="s">
        <v>422</v>
      </c>
      <c r="AO6" s="501"/>
      <c r="AP6" s="501" t="str">
        <f>IF(T6="","",T6)</f>
        <v>Схема подключения теплопотребляющей установки к коллектору источника тепловой энергии</v>
      </c>
      <c r="AQ6" s="501"/>
      <c r="AR6" s="501"/>
      <c r="AS6" s="1156">
        <v>0</v>
      </c>
    </row>
    <row customHeight="1" ht="21" hidden="1">
      <c r="A7" s="1364"/>
      <c r="B7" s="1364"/>
      <c r="C7" s="1364"/>
      <c r="D7" s="1364"/>
      <c r="E7" s="2260"/>
      <c r="F7" s="2260"/>
      <c r="G7" s="2260"/>
      <c r="H7" s="2260"/>
      <c r="I7" s="2287"/>
      <c r="J7" s="2257">
        <f>I6&amp;".1"</f>
      </c>
      <c r="K7" s="1364"/>
      <c r="L7" s="1365" t="s">
        <v>423</v>
      </c>
      <c r="M7" s="538"/>
      <c r="N7" s="1367"/>
      <c r="P7" s="2258"/>
      <c r="Q7" s="2258">
        <v>1</v>
      </c>
      <c r="R7" s="358"/>
      <c r="S7" s="1337">
        <f>$J7</f>
      </c>
      <c r="T7" s="287" t="s">
        <v>424</v>
      </c>
      <c r="U7" s="301"/>
      <c r="V7" s="2246"/>
      <c r="W7" s="2247"/>
      <c r="X7" s="2247"/>
      <c r="Y7" s="2247"/>
      <c r="Z7" s="2247"/>
      <c r="AA7" s="2247"/>
      <c r="AB7" s="2247"/>
      <c r="AC7" s="2248"/>
      <c r="AD7" s="2246"/>
      <c r="AE7" s="2247"/>
      <c r="AF7" s="2247"/>
      <c r="AG7" s="2247"/>
      <c r="AH7" s="2247"/>
      <c r="AI7" s="2247"/>
      <c r="AJ7" s="2247"/>
      <c r="AK7" s="2247"/>
      <c r="AL7" s="2248"/>
      <c r="AM7" s="1259" t="s">
        <v>425</v>
      </c>
      <c r="AO7" s="501"/>
      <c r="AP7" s="501" t="str">
        <f>IF(T7="","",T7)</f>
        <v>Группа потребителей</v>
      </c>
      <c r="AQ7" s="501"/>
      <c r="AR7" s="501"/>
      <c r="AS7" s="1156">
        <v>0</v>
      </c>
    </row>
    <row customHeight="1" ht="21" hidden="1">
      <c r="A8" s="1364"/>
      <c r="B8" s="1364"/>
      <c r="C8" s="1364"/>
      <c r="D8" s="1364"/>
      <c r="E8" s="2260"/>
      <c r="F8" s="2260"/>
      <c r="G8" s="2260"/>
      <c r="H8" s="2260"/>
      <c r="I8" s="2287"/>
      <c r="J8" s="2287"/>
      <c r="K8" s="2257">
        <f>J7&amp;".1"</f>
      </c>
      <c r="L8" s="1365" t="s">
        <v>426</v>
      </c>
      <c r="M8" s="538"/>
      <c r="N8" s="1367"/>
      <c r="O8" s="1367"/>
      <c r="P8" s="2258"/>
      <c r="Q8" s="2258"/>
      <c r="R8" s="358">
        <v>1</v>
      </c>
      <c r="S8" s="1337">
        <f>$K8</f>
      </c>
      <c r="T8" s="1348"/>
      <c r="U8" s="301"/>
      <c r="V8" s="326"/>
      <c r="W8" s="752"/>
      <c r="X8" s="326"/>
      <c r="Y8" s="385"/>
      <c r="Z8" s="2266"/>
      <c r="AA8" s="2108" t="s">
        <v>61</v>
      </c>
      <c r="AB8" s="2266"/>
      <c r="AC8" s="2108" t="s">
        <v>61</v>
      </c>
      <c r="AD8" s="326"/>
      <c r="AE8" s="752"/>
      <c r="AF8" s="326"/>
      <c r="AG8" s="385"/>
      <c r="AH8" s="2266"/>
      <c r="AI8" s="2108" t="s">
        <v>61</v>
      </c>
      <c r="AJ8" s="2266"/>
      <c r="AK8" s="2108" t="s">
        <v>61</v>
      </c>
      <c r="AL8" s="326"/>
      <c r="AM8" s="2254" t="s">
        <v>427</v>
      </c>
      <c r="AN8" s="512">
        <f>STRCHECKDATE(V9:AL9)</f>
      </c>
      <c r="AO8" s="501"/>
      <c r="AP8" s="501" t="str">
        <f>IF(T8="","",T8)</f>
        <v/>
      </c>
      <c r="AQ8" s="501"/>
      <c r="AR8" s="501"/>
      <c r="AS8" s="1156">
        <v>0</v>
      </c>
    </row>
    <row customHeight="1" ht="0.75" hidden="1">
      <c r="A9" s="1364"/>
      <c r="B9" s="1364"/>
      <c r="C9" s="1364"/>
      <c r="D9" s="1364"/>
      <c r="E9" s="2260"/>
      <c r="F9" s="2260"/>
      <c r="G9" s="2260"/>
      <c r="H9" s="2260"/>
      <c r="I9" s="2287"/>
      <c r="J9" s="2287"/>
      <c r="K9" s="2257"/>
      <c r="L9" s="1365"/>
      <c r="M9" s="538"/>
      <c r="N9" s="1367"/>
      <c r="O9" s="1367"/>
      <c r="P9" s="2258"/>
      <c r="Q9" s="2258"/>
      <c r="R9" s="358"/>
      <c r="S9" s="1343"/>
      <c r="T9" s="301"/>
      <c r="U9" s="301"/>
      <c r="V9" s="326"/>
      <c r="W9" s="326"/>
      <c r="X9" s="326"/>
      <c r="Y9" s="329" t="str">
        <f>Z8&amp;"-"&amp;AB8</f>
        <v>-</v>
      </c>
      <c r="Z9" s="2267"/>
      <c r="AA9" s="2108"/>
      <c r="AB9" s="2267"/>
      <c r="AC9" s="2108"/>
      <c r="AD9" s="326"/>
      <c r="AE9" s="326"/>
      <c r="AF9" s="326"/>
      <c r="AG9" s="329" t="str">
        <f>AH8&amp;"-"&amp;AJ8</f>
        <v>-</v>
      </c>
      <c r="AH9" s="2267"/>
      <c r="AI9" s="2108"/>
      <c r="AJ9" s="2267"/>
      <c r="AK9" s="2108"/>
      <c r="AL9" s="326"/>
      <c r="AM9" s="2255"/>
      <c r="AO9" s="501"/>
      <c r="AP9" s="501" t="str">
        <f>IF(T9="","",T9)</f>
        <v/>
      </c>
      <c r="AQ9" s="501"/>
      <c r="AR9" s="501"/>
      <c r="AS9" s="1156">
        <v>0</v>
      </c>
    </row>
    <row customHeight="1" ht="15" hidden="1">
      <c r="A10" s="1364"/>
      <c r="B10" s="1364"/>
      <c r="C10" s="1364"/>
      <c r="D10" s="1364"/>
      <c r="E10" s="2260"/>
      <c r="F10" s="2260"/>
      <c r="G10" s="2260"/>
      <c r="H10" s="2260"/>
      <c r="I10" s="2287"/>
      <c r="J10" s="2257"/>
      <c r="K10" s="1364"/>
      <c r="L10" s="1365"/>
      <c r="M10" s="538"/>
      <c r="N10" s="1367"/>
      <c r="P10" s="2258"/>
      <c r="Q10" s="2258"/>
      <c r="R10" s="357"/>
      <c r="S10" s="1279"/>
      <c r="T10" s="289" t="s">
        <v>428</v>
      </c>
      <c r="U10" s="368"/>
      <c r="V10" s="368"/>
      <c r="W10" s="368"/>
      <c r="X10" s="368"/>
      <c r="Y10" s="368"/>
      <c r="Z10" s="368"/>
      <c r="AA10" s="368"/>
      <c r="AB10" s="368"/>
      <c r="AC10" s="368"/>
      <c r="AD10" s="368"/>
      <c r="AE10" s="368"/>
      <c r="AF10" s="368"/>
      <c r="AG10" s="368"/>
      <c r="AH10" s="368"/>
      <c r="AI10" s="368"/>
      <c r="AJ10" s="368"/>
      <c r="AK10" s="368"/>
      <c r="AL10" s="325"/>
      <c r="AM10" s="2256"/>
      <c r="AO10" s="501"/>
      <c r="AP10" s="501" t="str">
        <f>IF(T10="","",T10)</f>
        <v>Добавить вид теплоносителя (параметры теплоносителя)</v>
      </c>
      <c r="AQ10" s="501"/>
      <c r="AR10" s="501"/>
      <c r="AS10" s="1156">
        <v>0</v>
      </c>
    </row>
    <row customHeight="1" ht="15" hidden="1">
      <c r="A11" s="1364"/>
      <c r="B11" s="1364"/>
      <c r="C11" s="1364"/>
      <c r="D11" s="1364"/>
      <c r="E11" s="2260"/>
      <c r="F11" s="2260"/>
      <c r="G11" s="2260"/>
      <c r="H11" s="2260"/>
      <c r="I11" s="2257"/>
      <c r="J11" s="1364"/>
      <c r="K11" s="1364"/>
      <c r="L11" s="1365"/>
      <c r="M11" s="538"/>
      <c r="P11" s="2258"/>
      <c r="Q11" s="1332"/>
      <c r="R11" s="357"/>
      <c r="S11" s="1279"/>
      <c r="T11" s="288" t="s">
        <v>429</v>
      </c>
      <c r="U11" s="368"/>
      <c r="V11" s="368"/>
      <c r="W11" s="368"/>
      <c r="X11" s="368"/>
      <c r="Y11" s="368"/>
      <c r="Z11" s="368"/>
      <c r="AA11" s="368"/>
      <c r="AB11" s="368"/>
      <c r="AC11" s="367"/>
      <c r="AD11" s="368"/>
      <c r="AE11" s="368"/>
      <c r="AF11" s="368"/>
      <c r="AG11" s="368"/>
      <c r="AH11" s="368"/>
      <c r="AI11" s="368"/>
      <c r="AJ11" s="368"/>
      <c r="AK11" s="367"/>
      <c r="AL11" s="368"/>
      <c r="AM11" s="304"/>
      <c r="AO11" s="501"/>
      <c r="AP11" s="501" t="str">
        <f>IF(T11="","",T11)</f>
        <v>Добавить группу потребителей</v>
      </c>
      <c r="AQ11" s="501"/>
      <c r="AR11" s="501"/>
      <c r="AS11" s="1156">
        <v>0</v>
      </c>
    </row>
    <row customHeight="1" ht="14.25" hidden="1">
      <c r="A12" s="1364"/>
      <c r="B12" s="1364"/>
      <c r="C12" s="1364"/>
      <c r="D12" s="1364"/>
      <c r="E12" s="2260"/>
      <c r="F12" s="2260"/>
      <c r="G12" s="2260"/>
      <c r="H12" s="2259"/>
      <c r="I12" s="1364"/>
      <c r="J12" s="1364"/>
      <c r="K12" s="1364"/>
      <c r="L12" s="1365"/>
      <c r="M12" s="1366"/>
      <c r="N12" s="1366"/>
      <c r="O12" s="538"/>
      <c r="P12" s="361"/>
      <c r="Q12" s="376"/>
      <c r="R12" s="356"/>
      <c r="S12" s="1279"/>
      <c r="T12" s="366" t="s">
        <v>430</v>
      </c>
      <c r="U12" s="368"/>
      <c r="V12" s="368"/>
      <c r="W12" s="368"/>
      <c r="X12" s="368"/>
      <c r="Y12" s="368"/>
      <c r="Z12" s="368"/>
      <c r="AA12" s="368"/>
      <c r="AB12" s="368"/>
      <c r="AC12" s="367"/>
      <c r="AD12" s="368"/>
      <c r="AE12" s="368"/>
      <c r="AF12" s="368"/>
      <c r="AG12" s="368"/>
      <c r="AH12" s="368"/>
      <c r="AI12" s="368"/>
      <c r="AJ12" s="368"/>
      <c r="AK12" s="367"/>
      <c r="AL12" s="368"/>
      <c r="AM12" s="304"/>
      <c r="AO12" s="501"/>
      <c r="AP12" s="501" t="str">
        <f>IF(T12="","",T12)</f>
        <v>Добавить схему подключения</v>
      </c>
      <c r="AQ12" s="501"/>
      <c r="AR12" s="501"/>
      <c r="AS12" s="1156">
        <v>0</v>
      </c>
    </row>
    <row s="1643" customFormat="1" customHeight="1" ht="0.75" hidden="1">
      <c r="A13" s="1315"/>
      <c r="B13" s="1315"/>
      <c r="C13" s="1315"/>
      <c r="D13" s="1315"/>
      <c r="E13" s="2260"/>
      <c r="F13" s="2260"/>
      <c r="G13" s="2259"/>
      <c r="H13" s="1315"/>
      <c r="I13" s="1315"/>
      <c r="J13" s="1315"/>
      <c r="K13" s="1315"/>
      <c r="L13" s="1340"/>
      <c r="M13" s="1316"/>
      <c r="N13" s="1316"/>
      <c r="P13" s="1317"/>
      <c r="Q13" s="1318"/>
      <c r="R13" s="1317"/>
      <c r="S13" s="1319"/>
      <c r="T13" s="1320" t="s">
        <v>176</v>
      </c>
      <c r="U13" s="1321"/>
      <c r="V13" s="1321"/>
      <c r="W13" s="1321"/>
      <c r="X13" s="1321"/>
      <c r="Y13" s="1321"/>
      <c r="Z13" s="1321"/>
      <c r="AA13" s="1321"/>
      <c r="AB13" s="1321"/>
      <c r="AC13" s="1321"/>
      <c r="AD13" s="1321"/>
      <c r="AE13" s="1321"/>
      <c r="AF13" s="1321"/>
      <c r="AG13" s="1321"/>
      <c r="AH13" s="1321"/>
      <c r="AI13" s="1321"/>
      <c r="AJ13" s="1321"/>
      <c r="AK13" s="1321"/>
      <c r="AL13" s="1321"/>
      <c r="AM13" s="1321"/>
      <c r="AO13" s="790"/>
      <c r="AP13" s="790" t="str">
        <f>IF(T13="","",T13)</f>
        <v>Добавить источник для дифференциации</v>
      </c>
      <c r="AQ13" s="790"/>
      <c r="AR13" s="790"/>
      <c r="AS13" s="519">
        <v>0</v>
      </c>
    </row>
    <row s="1643" customFormat="1" customHeight="1" ht="0.75" hidden="1">
      <c r="A14" s="1315"/>
      <c r="B14" s="1315"/>
      <c r="C14" s="1315"/>
      <c r="D14" s="1315"/>
      <c r="E14" s="2260"/>
      <c r="F14" s="2259"/>
      <c r="G14" s="1315"/>
      <c r="H14" s="1315"/>
      <c r="I14" s="1315"/>
      <c r="J14" s="1315"/>
      <c r="K14" s="1315"/>
      <c r="L14" s="1340"/>
      <c r="M14" s="1322"/>
      <c r="N14" s="1322"/>
      <c r="P14" s="1317"/>
      <c r="Q14" s="1318"/>
      <c r="R14" s="1317"/>
      <c r="S14" s="1323"/>
      <c r="T14" s="1324" t="s">
        <v>177</v>
      </c>
      <c r="U14" s="1325"/>
      <c r="V14" s="1325"/>
      <c r="W14" s="1325"/>
      <c r="X14" s="1325"/>
      <c r="Y14" s="1325"/>
      <c r="Z14" s="1325"/>
      <c r="AA14" s="1325"/>
      <c r="AB14" s="1325"/>
      <c r="AC14" s="1325"/>
      <c r="AD14" s="1325"/>
      <c r="AE14" s="1325"/>
      <c r="AF14" s="1325"/>
      <c r="AG14" s="1325"/>
      <c r="AH14" s="1325"/>
      <c r="AI14" s="1325"/>
      <c r="AJ14" s="1325"/>
      <c r="AK14" s="1325"/>
      <c r="AL14" s="1325"/>
      <c r="AM14" s="1325"/>
      <c r="AO14" s="790"/>
      <c r="AP14" s="790" t="str">
        <f>IF(T14="","",T14)</f>
        <v>Добавить централизованную систему для дифференциации</v>
      </c>
      <c r="AQ14" s="790"/>
      <c r="AR14" s="790"/>
      <c r="AS14" s="519">
        <v>0</v>
      </c>
    </row>
    <row s="1643" customFormat="1" customHeight="1" ht="0.75" hidden="1">
      <c r="A15" s="1315"/>
      <c r="B15" s="1315"/>
      <c r="C15" s="1315"/>
      <c r="D15" s="1315"/>
      <c r="E15" s="2259"/>
      <c r="F15" s="1315"/>
      <c r="G15" s="1315"/>
      <c r="H15" s="1315"/>
      <c r="I15" s="1315"/>
      <c r="J15" s="1315"/>
      <c r="K15" s="1315"/>
      <c r="L15" s="1340"/>
      <c r="M15" s="1322"/>
      <c r="N15" s="1322"/>
      <c r="P15" s="1317"/>
      <c r="Q15" s="1318"/>
      <c r="R15" s="1317"/>
      <c r="S15" s="1323"/>
      <c r="T15" s="1326" t="s">
        <v>178</v>
      </c>
      <c r="U15" s="1325"/>
      <c r="V15" s="1325"/>
      <c r="W15" s="1325"/>
      <c r="X15" s="1325"/>
      <c r="Y15" s="1325"/>
      <c r="Z15" s="1325"/>
      <c r="AA15" s="1325"/>
      <c r="AB15" s="1325"/>
      <c r="AC15" s="1325"/>
      <c r="AD15" s="1325"/>
      <c r="AE15" s="1325"/>
      <c r="AF15" s="1325"/>
      <c r="AG15" s="1325"/>
      <c r="AH15" s="1325"/>
      <c r="AI15" s="1325"/>
      <c r="AJ15" s="1325"/>
      <c r="AK15" s="1325"/>
      <c r="AL15" s="1325"/>
      <c r="AM15" s="1325"/>
      <c r="AO15" s="790"/>
      <c r="AP15" s="790" t="str">
        <f>IF(T15="","",T15)</f>
        <v>Добавить территорию для дифференциации</v>
      </c>
      <c r="AQ15" s="790"/>
      <c r="AR15" s="790"/>
      <c r="AS15" s="519">
        <v>0</v>
      </c>
    </row>
    <row customHeight="1" ht="14.25" hidden="1">
      <c r="AC16" s="328"/>
      <c r="AK16" s="328"/>
      <c r="AS16" s="1156">
        <v>0</v>
      </c>
    </row>
    <row customHeight="1" ht="14.25" hidden="1">
      <c r="AD17" s="1361"/>
      <c r="AE17" s="1361"/>
      <c r="AF17" s="1361"/>
      <c r="AG17" s="1362"/>
      <c r="AH17" s="2268"/>
      <c r="AI17" s="2269" t="s">
        <v>61</v>
      </c>
      <c r="AJ17" s="2268"/>
      <c r="AK17" s="2269" t="s">
        <v>61</v>
      </c>
      <c r="AS17" s="1156">
        <v>0</v>
      </c>
    </row>
    <row customHeight="1" ht="14.25" hidden="1">
      <c r="AD18" s="1361"/>
      <c r="AE18" s="1361"/>
      <c r="AF18" s="1361"/>
      <c r="AG18" s="329" t="str">
        <f>AH17&amp;"-"&amp;AJ17</f>
        <v>-</v>
      </c>
      <c r="AH18" s="2269"/>
      <c r="AI18" s="2269"/>
      <c r="AJ18" s="2269"/>
      <c r="AK18" s="2269"/>
      <c r="AS18" s="1156">
        <v>0</v>
      </c>
    </row>
    <row customHeight="1" ht="14.25" hidden="1">
      <c r="AK19" s="328"/>
      <c r="AS19" s="1156">
        <v>0</v>
      </c>
    </row>
    <row s="1367" customFormat="1" customHeight="1" ht="22.5" hidden="1">
      <c r="L20" s="1330"/>
      <c r="M20" s="1363"/>
      <c r="N20" s="1363"/>
      <c r="O20" s="1368" t="s">
        <v>431</v>
      </c>
      <c r="P20" s="1363"/>
      <c r="Q20" s="1372"/>
      <c r="R20" s="1372"/>
      <c r="S20" s="730"/>
      <c r="Z20" s="1368"/>
      <c r="AB20" s="1368"/>
      <c r="AC20" s="1367"/>
      <c r="AH20" s="1368"/>
      <c r="AJ20" s="1368"/>
      <c r="AK20" s="1367"/>
      <c r="AN20" s="512"/>
      <c r="AO20" s="512"/>
      <c r="AP20" s="512"/>
      <c r="AQ20" s="512"/>
      <c r="AR20" s="512"/>
      <c r="AS20" s="1161">
        <v>0</v>
      </c>
    </row>
    <row s="1367" customFormat="1" customHeight="1" ht="14.25" hidden="1">
      <c r="L21" s="1330"/>
      <c r="M21" s="1363"/>
      <c r="N21" s="1363"/>
      <c r="O21" s="1363"/>
      <c r="P21" s="1363"/>
      <c r="Q21" s="1372"/>
      <c r="R21" s="1372"/>
      <c r="S21" s="730"/>
      <c r="AC21" s="1367"/>
      <c r="AK21" s="1367"/>
      <c r="AN21" s="512"/>
      <c r="AO21" s="512"/>
      <c r="AP21" s="512"/>
      <c r="AQ21" s="512"/>
      <c r="AR21" s="512"/>
      <c r="AS21" s="1161">
        <v>0</v>
      </c>
    </row>
    <row s="1367" customFormat="1" customHeight="1" ht="33.75" hidden="1">
      <c r="L22" s="1330"/>
      <c r="M22" s="1363"/>
      <c r="N22" s="1363"/>
      <c r="O22" s="1365" t="s">
        <v>432</v>
      </c>
      <c r="P22" s="1363"/>
      <c r="Q22" s="1372"/>
      <c r="R22" s="1372"/>
      <c r="S22" s="730"/>
      <c r="T22" s="1161" t="s">
        <v>433</v>
      </c>
      <c r="AA22" s="187" t="s">
        <v>434</v>
      </c>
      <c r="AC22" s="187" t="s">
        <v>435</v>
      </c>
      <c r="AD22" s="1161" t="s">
        <v>433</v>
      </c>
      <c r="AI22" s="187" t="s">
        <v>436</v>
      </c>
      <c r="AK22" s="187" t="s">
        <v>435</v>
      </c>
      <c r="AN22" s="512"/>
      <c r="AO22" s="512"/>
      <c r="AP22" s="512"/>
      <c r="AQ22" s="512"/>
      <c r="AR22" s="512"/>
      <c r="AS22" s="1161">
        <v>0</v>
      </c>
    </row>
    <row customHeight="1" ht="14.25" hidden="1">
      <c r="O23" s="1365"/>
      <c r="AS23" s="1156">
        <v>0</v>
      </c>
    </row>
    <row customHeight="1" ht="14.25" hidden="1">
      <c r="O24" s="1365"/>
      <c r="AS24" s="1156">
        <v>0</v>
      </c>
    </row>
    <row customHeight="1" ht="14.699999999999998">
      <c r="Q25" s="377"/>
      <c r="R25" s="377"/>
      <c r="S25" s="1276"/>
      <c r="T25" s="364"/>
      <c r="U25" s="364"/>
      <c r="V25" s="510"/>
      <c r="W25" s="510"/>
      <c r="X25" s="510"/>
      <c r="Y25" s="510"/>
      <c r="Z25" s="510"/>
      <c r="AA25" s="510"/>
      <c r="AB25" s="510"/>
      <c r="AC25" s="510"/>
      <c r="AD25" s="510"/>
      <c r="AE25" s="510"/>
      <c r="AF25" s="510"/>
      <c r="AG25" s="510"/>
      <c r="AH25" s="510"/>
      <c r="AI25" s="510"/>
      <c r="AJ25" s="510"/>
      <c r="AK25" s="510"/>
      <c r="AS25" s="1156">
        <v>14</v>
      </c>
    </row>
    <row customHeight="1" ht="29.25">
      <c r="Q26" s="377"/>
      <c r="R26" s="377"/>
      <c r="S26" s="2249" t="str">
        <f>IF(TEMPLATE_GROUP="P",PT_P_FORM_HEAT_4_NAME_FORM,PT_R_FORM_HEAT_21_NAME_FORM)</f>
        <v>Форма 19. Информация о предложении регулируемой организации о расчетной величине тарифов в сфере теплоснабжения на очередной расчетный период регулирования</v>
      </c>
      <c r="T26" s="2249"/>
      <c r="U26" s="2249"/>
      <c r="V26" s="2249"/>
      <c r="W26" s="2249"/>
      <c r="X26" s="2249"/>
      <c r="Y26" s="2249"/>
      <c r="Z26" s="2249"/>
      <c r="AA26" s="2249"/>
      <c r="AB26" s="2249"/>
      <c r="AC26" s="2249"/>
      <c r="AD26" s="2249"/>
      <c r="AE26" s="2249"/>
      <c r="AF26" s="2249"/>
      <c r="AG26" s="2249"/>
      <c r="AH26" s="2249"/>
      <c r="AI26" s="2249"/>
      <c r="AJ26" s="2249"/>
      <c r="AK26" s="1244"/>
      <c r="AS26" s="1156">
        <v>28</v>
      </c>
    </row>
    <row customHeight="1" ht="14.699999999999998">
      <c r="Q27" s="377"/>
      <c r="R27" s="377"/>
      <c r="S27" s="2250" t="str">
        <f>IF(org=0,"Не определено",org)</f>
        <v>ПАО "КГК"</v>
      </c>
      <c r="T27" s="2250"/>
      <c r="U27" s="2250"/>
      <c r="V27" s="2250"/>
      <c r="W27" s="2250"/>
      <c r="X27" s="2250"/>
      <c r="Y27" s="2250"/>
      <c r="Z27" s="2250"/>
      <c r="AA27" s="2250"/>
      <c r="AB27" s="2250"/>
      <c r="AC27" s="2250"/>
      <c r="AD27" s="2250"/>
      <c r="AE27" s="2250"/>
      <c r="AF27" s="2250"/>
      <c r="AG27" s="2250"/>
      <c r="AH27" s="2250"/>
      <c r="AI27" s="2250"/>
      <c r="AJ27" s="2250"/>
      <c r="AK27" s="1244"/>
      <c r="AS27" s="1156">
        <v>14</v>
      </c>
    </row>
    <row customHeight="1" ht="14.25" hidden="1">
      <c r="Q28" s="377"/>
      <c r="R28" s="377"/>
      <c r="S28" s="1276"/>
      <c r="T28" s="364"/>
      <c r="U28" s="364"/>
      <c r="V28" s="323"/>
      <c r="W28" s="323"/>
      <c r="X28" s="323"/>
      <c r="Y28" s="323"/>
      <c r="Z28" s="323"/>
      <c r="AA28" s="323"/>
      <c r="AB28" s="323"/>
      <c r="AC28" s="323"/>
      <c r="AD28" s="323"/>
      <c r="AE28" s="323"/>
      <c r="AF28" s="323"/>
      <c r="AG28" s="323"/>
      <c r="AH28" s="323"/>
      <c r="AI28" s="323"/>
      <c r="AJ28" s="323"/>
      <c r="AK28" s="323"/>
      <c r="AL28" s="510"/>
      <c r="AS28" s="1156">
        <v>0</v>
      </c>
    </row>
    <row s="1854" customFormat="1" customHeight="1" ht="25.5" hidden="1">
      <c r="A29" s="1369"/>
      <c r="B29" s="1369"/>
      <c r="C29" s="1369"/>
      <c r="D29" s="1369"/>
      <c r="E29" s="1369"/>
      <c r="F29" s="1369"/>
      <c r="G29" s="1369"/>
      <c r="H29" s="1369"/>
      <c r="I29" s="1369"/>
      <c r="J29" s="1369"/>
      <c r="K29" s="1369"/>
      <c r="L29" s="1370"/>
      <c r="M29" s="1369"/>
      <c r="N29" s="1369"/>
      <c r="O29" s="1369"/>
      <c r="S29" s="2251" t="s">
        <v>42</v>
      </c>
      <c r="T29" s="2251"/>
      <c r="U29" s="1373"/>
      <c r="V29" s="2252" t="str">
        <f>IF(TITLE_NAME_OR_PR_CHANGE="",IF(TITLE_NAME_OR_PR="","",TITLE_NAME_OR_PR),TITLE_NAME_OR_PR_CHANGE)</f>
        <v/>
      </c>
      <c r="W29" s="2252"/>
      <c r="X29" s="2252"/>
      <c r="Y29" s="2252"/>
      <c r="Z29" s="2252"/>
      <c r="AA29" s="2252"/>
      <c r="AB29" s="2252"/>
      <c r="AC29" s="327"/>
      <c r="AD29" s="2252" t="str">
        <f>IF(TITLE_NAME_OR_PR_CHANGE="",IF(TITLE_NAME_OR_PR="","",TITLE_NAME_OR_PR),TITLE_NAME_OR_PR_CHANGE)</f>
        <v/>
      </c>
      <c r="AE29" s="2252"/>
      <c r="AF29" s="2252"/>
      <c r="AG29" s="2252"/>
      <c r="AH29" s="2252"/>
      <c r="AI29" s="2252"/>
      <c r="AJ29" s="2252"/>
      <c r="AK29" s="327"/>
      <c r="AL29" s="327"/>
      <c r="AM29" s="281"/>
      <c r="AN29" s="369"/>
      <c r="AO29" s="369"/>
      <c r="AP29" s="369"/>
      <c r="AQ29" s="369"/>
      <c r="AR29" s="369"/>
      <c r="AS29" s="419">
        <v>0</v>
      </c>
    </row>
    <row s="1854" customFormat="1" customHeight="1" ht="18.75" hidden="1">
      <c r="A30" s="1369"/>
      <c r="B30" s="1369"/>
      <c r="C30" s="1369"/>
      <c r="D30" s="1369"/>
      <c r="E30" s="1369"/>
      <c r="F30" s="1369"/>
      <c r="G30" s="1369"/>
      <c r="H30" s="1369"/>
      <c r="I30" s="1369"/>
      <c r="J30" s="1369"/>
      <c r="K30" s="1369"/>
      <c r="L30" s="1370"/>
      <c r="M30" s="1369"/>
      <c r="N30" s="1369"/>
      <c r="O30" s="1369"/>
      <c r="S30" s="2251" t="s">
        <v>437</v>
      </c>
      <c r="T30" s="2251"/>
      <c r="U30" s="1373"/>
      <c r="V30" s="2265" t="str">
        <f>IF(TITLE_DATE_PR_CHANGE="",IF(TITLE_DATE_PR="","",TITLE_DATE_PR),TITLE_DATE_PR_CHANGE)</f>
        <v>46142</v>
      </c>
      <c r="W30" s="2265"/>
      <c r="X30" s="2265"/>
      <c r="Y30" s="2265"/>
      <c r="Z30" s="2265"/>
      <c r="AA30" s="2265"/>
      <c r="AB30" s="2265"/>
      <c r="AC30" s="327"/>
      <c r="AD30" s="2265" t="str">
        <f>IF(TITLE_DATE_PR_CHANGE="",IF(TITLE_DATE_PR="","",TITLE_DATE_PR),TITLE_DATE_PR_CHANGE)</f>
        <v>46142</v>
      </c>
      <c r="AE30" s="2265"/>
      <c r="AF30" s="2265"/>
      <c r="AG30" s="2265"/>
      <c r="AH30" s="2265"/>
      <c r="AI30" s="2265"/>
      <c r="AJ30" s="2265"/>
      <c r="AK30" s="327"/>
      <c r="AL30" s="327"/>
      <c r="AM30" s="281"/>
      <c r="AN30" s="369"/>
      <c r="AO30" s="369"/>
      <c r="AP30" s="369"/>
      <c r="AQ30" s="369"/>
      <c r="AR30" s="369"/>
      <c r="AS30" s="419">
        <v>0</v>
      </c>
    </row>
    <row s="1854" customFormat="1" customHeight="1" ht="18.75" hidden="1">
      <c r="A31" s="1369"/>
      <c r="B31" s="1369"/>
      <c r="C31" s="1369"/>
      <c r="D31" s="1369"/>
      <c r="E31" s="1369"/>
      <c r="F31" s="1369"/>
      <c r="G31" s="1369"/>
      <c r="H31" s="1369"/>
      <c r="I31" s="1369"/>
      <c r="J31" s="1369"/>
      <c r="K31" s="1369"/>
      <c r="L31" s="1370"/>
      <c r="M31" s="1369"/>
      <c r="N31" s="1369"/>
      <c r="O31" s="1369"/>
      <c r="S31" s="2251" t="s">
        <v>438</v>
      </c>
      <c r="T31" s="2251"/>
      <c r="U31" s="1373"/>
      <c r="V31" s="2252" t="str">
        <f>IF(TITLE_NUMBER_PR_CHANGE="",IF(TITLE_NUMBER_PR="","",TITLE_NUMBER_PR),TITLE_NUMBER_PR_CHANGE)</f>
        <v>206Т</v>
      </c>
      <c r="W31" s="2252"/>
      <c r="X31" s="2252"/>
      <c r="Y31" s="2252"/>
      <c r="Z31" s="2252"/>
      <c r="AA31" s="2252"/>
      <c r="AB31" s="2252"/>
      <c r="AC31" s="327"/>
      <c r="AD31" s="2252" t="str">
        <f>IF(TITLE_NUMBER_PR_CHANGE="",IF(TITLE_NUMBER_PR="","",TITLE_NUMBER_PR),TITLE_NUMBER_PR_CHANGE)</f>
        <v>206Т</v>
      </c>
      <c r="AE31" s="2252"/>
      <c r="AF31" s="2252"/>
      <c r="AG31" s="2252"/>
      <c r="AH31" s="2252"/>
      <c r="AI31" s="2252"/>
      <c r="AJ31" s="2252"/>
      <c r="AK31" s="327"/>
      <c r="AL31" s="327"/>
      <c r="AM31" s="281"/>
      <c r="AN31" s="369"/>
      <c r="AO31" s="369"/>
      <c r="AP31" s="369"/>
      <c r="AQ31" s="369"/>
      <c r="AR31" s="369"/>
      <c r="AS31" s="419">
        <v>0</v>
      </c>
    </row>
    <row s="1854" customFormat="1" customHeight="1" ht="18.75" hidden="1">
      <c r="A32" s="1369"/>
      <c r="B32" s="1369"/>
      <c r="C32" s="1369"/>
      <c r="D32" s="1369"/>
      <c r="E32" s="1369"/>
      <c r="F32" s="1369"/>
      <c r="G32" s="1369"/>
      <c r="H32" s="1369"/>
      <c r="I32" s="1369"/>
      <c r="J32" s="1369"/>
      <c r="K32" s="1369"/>
      <c r="L32" s="1370"/>
      <c r="M32" s="1369"/>
      <c r="N32" s="1369"/>
      <c r="O32" s="1369"/>
      <c r="S32" s="2251" t="s">
        <v>43</v>
      </c>
      <c r="T32" s="2251"/>
      <c r="U32" s="1373"/>
      <c r="V32" s="2252" t="str">
        <f>IF(TITLE_IST_PUB_CHANGE="",IF(TITLE_IST_PUB="","",TITLE_IST_PUB),TITLE_IST_PUB_CHANGE)</f>
        <v/>
      </c>
      <c r="W32" s="2252"/>
      <c r="X32" s="2252"/>
      <c r="Y32" s="2252"/>
      <c r="Z32" s="2252"/>
      <c r="AA32" s="2252"/>
      <c r="AB32" s="2252"/>
      <c r="AC32" s="327"/>
      <c r="AD32" s="2252" t="str">
        <f>IF(TITLE_IST_PUB_CHANGE="",IF(TITLE_IST_PUB="","",TITLE_IST_PUB),TITLE_IST_PUB_CHANGE)</f>
        <v/>
      </c>
      <c r="AE32" s="2252"/>
      <c r="AF32" s="2252"/>
      <c r="AG32" s="2252"/>
      <c r="AH32" s="2252"/>
      <c r="AI32" s="2252"/>
      <c r="AJ32" s="2252"/>
      <c r="AK32" s="327"/>
      <c r="AL32" s="327"/>
      <c r="AM32" s="281"/>
      <c r="AN32" s="369"/>
      <c r="AO32" s="369"/>
      <c r="AP32" s="369"/>
      <c r="AQ32" s="369"/>
      <c r="AR32" s="369"/>
      <c r="AS32" s="419">
        <v>0</v>
      </c>
    </row>
    <row customHeight="1" ht="14.25">
      <c r="Q33" s="377"/>
      <c r="R33" s="377"/>
      <c r="S33" s="1276"/>
      <c r="T33" s="364"/>
      <c r="U33" s="364"/>
      <c r="V33" s="323"/>
      <c r="W33" s="323"/>
      <c r="X33" s="323"/>
      <c r="Y33" s="323"/>
      <c r="Z33" s="323"/>
      <c r="AA33" s="323"/>
      <c r="AB33" s="323"/>
      <c r="AC33" s="323"/>
      <c r="AD33" s="323"/>
      <c r="AE33" s="323"/>
      <c r="AF33" s="323"/>
      <c r="AG33" s="323"/>
      <c r="AH33" s="323"/>
      <c r="AI33" s="323"/>
      <c r="AJ33" s="323"/>
      <c r="AK33" s="323"/>
      <c r="AL33" s="510"/>
      <c r="AS33" s="1156">
        <v>0</v>
      </c>
    </row>
    <row s="1854" customFormat="1" customHeight="1" ht="18.75">
      <c r="A34" s="1369"/>
      <c r="B34" s="1369"/>
      <c r="C34" s="1369"/>
      <c r="D34" s="1369"/>
      <c r="E34" s="1369"/>
      <c r="F34" s="1369"/>
      <c r="G34" s="1369"/>
      <c r="H34" s="1369"/>
      <c r="I34" s="1369"/>
      <c r="J34" s="1369"/>
      <c r="K34" s="1369"/>
      <c r="L34" s="1370"/>
      <c r="M34" s="1369"/>
      <c r="N34" s="1369"/>
      <c r="O34" s="1369"/>
      <c r="S34" s="2251" t="s">
        <v>439</v>
      </c>
      <c r="T34" s="2251"/>
      <c r="U34" s="1373"/>
      <c r="V34" s="2265" t="str">
        <f>IF(TITLE_DATE_PR_CHANGE="",IF(TITLE_DATE_PR="","",TITLE_DATE_PR),TITLE_DATE_PR_CHANGE)</f>
        <v>46142</v>
      </c>
      <c r="W34" s="2265"/>
      <c r="X34" s="2265"/>
      <c r="Y34" s="2265"/>
      <c r="Z34" s="2265"/>
      <c r="AA34" s="2265"/>
      <c r="AB34" s="2265"/>
      <c r="AC34" s="327"/>
      <c r="AD34" s="2265" t="str">
        <f>IF(TITLE_DATE_PR_CHANGE="",IF(TITLE_DATE_PR="","",TITLE_DATE_PR),TITLE_DATE_PR_CHANGE)</f>
        <v>46142</v>
      </c>
      <c r="AE34" s="2265"/>
      <c r="AF34" s="2265"/>
      <c r="AG34" s="2265"/>
      <c r="AH34" s="2265"/>
      <c r="AI34" s="2265"/>
      <c r="AJ34" s="2265"/>
      <c r="AK34" s="327"/>
      <c r="AL34" s="327"/>
      <c r="AM34" s="281"/>
      <c r="AN34" s="369"/>
      <c r="AO34" s="369"/>
      <c r="AP34" s="369"/>
      <c r="AQ34" s="369"/>
      <c r="AR34" s="369"/>
      <c r="AS34" s="419">
        <v>0</v>
      </c>
    </row>
    <row s="1854" customFormat="1" customHeight="1" ht="18.75">
      <c r="A35" s="1369"/>
      <c r="B35" s="1369"/>
      <c r="C35" s="1369"/>
      <c r="D35" s="1369"/>
      <c r="E35" s="1369"/>
      <c r="F35" s="1369"/>
      <c r="G35" s="1369"/>
      <c r="H35" s="1369"/>
      <c r="I35" s="1369"/>
      <c r="J35" s="1369"/>
      <c r="K35" s="1369"/>
      <c r="L35" s="1370"/>
      <c r="M35" s="1369"/>
      <c r="N35" s="1369"/>
      <c r="O35" s="1369"/>
      <c r="S35" s="2251" t="s">
        <v>440</v>
      </c>
      <c r="T35" s="2251"/>
      <c r="U35" s="1373"/>
      <c r="V35" s="2252" t="str">
        <f>IF(TITLE_NUMBER_PR_CHANGE="",IF(TITLE_NUMBER_PR="","",TITLE_NUMBER_PR),TITLE_NUMBER_PR_CHANGE)</f>
        <v>206Т</v>
      </c>
      <c r="W35" s="2252"/>
      <c r="X35" s="2252"/>
      <c r="Y35" s="2252"/>
      <c r="Z35" s="2252"/>
      <c r="AA35" s="2252"/>
      <c r="AB35" s="2252"/>
      <c r="AC35" s="327"/>
      <c r="AD35" s="2252" t="str">
        <f>IF(TITLE_NUMBER_PR_CHANGE="",IF(TITLE_NUMBER_PR="","",TITLE_NUMBER_PR),TITLE_NUMBER_PR_CHANGE)</f>
        <v>206Т</v>
      </c>
      <c r="AE35" s="2252"/>
      <c r="AF35" s="2252"/>
      <c r="AG35" s="2252"/>
      <c r="AH35" s="2252"/>
      <c r="AI35" s="2252"/>
      <c r="AJ35" s="2252"/>
      <c r="AK35" s="327"/>
      <c r="AL35" s="327"/>
      <c r="AM35" s="281"/>
      <c r="AN35" s="369"/>
      <c r="AO35" s="369"/>
      <c r="AP35" s="369"/>
      <c r="AQ35" s="369"/>
      <c r="AR35" s="369"/>
      <c r="AS35" s="419">
        <v>0</v>
      </c>
    </row>
    <row s="1854" customFormat="1" customHeight="1" ht="0">
      <c r="A36" s="1369"/>
      <c r="B36" s="1369"/>
      <c r="C36" s="1369"/>
      <c r="D36" s="1369"/>
      <c r="E36" s="1369"/>
      <c r="F36" s="1369"/>
      <c r="G36" s="1369"/>
      <c r="H36" s="1369"/>
      <c r="I36" s="1369"/>
      <c r="J36" s="1369"/>
      <c r="K36" s="1369"/>
      <c r="L36" s="1370"/>
      <c r="M36" s="1369"/>
      <c r="N36" s="1369"/>
      <c r="O36" s="1369"/>
      <c r="S36" s="324"/>
      <c r="T36" s="324"/>
      <c r="U36" s="1341"/>
      <c r="V36" s="327"/>
      <c r="W36" s="327"/>
      <c r="X36" s="327"/>
      <c r="Y36" s="327"/>
      <c r="Z36" s="327"/>
      <c r="AA36" s="327"/>
      <c r="AB36" s="327"/>
      <c r="AC36" s="279" t="s">
        <v>441</v>
      </c>
      <c r="AD36" s="327"/>
      <c r="AE36" s="327"/>
      <c r="AF36" s="327"/>
      <c r="AG36" s="327"/>
      <c r="AH36" s="327"/>
      <c r="AI36" s="327"/>
      <c r="AJ36" s="327"/>
      <c r="AK36" s="279" t="s">
        <v>441</v>
      </c>
      <c r="AN36" s="369"/>
      <c r="AO36" s="369"/>
      <c r="AP36" s="369"/>
      <c r="AQ36" s="369"/>
      <c r="AR36" s="369"/>
      <c r="AS36" s="419">
        <v>0</v>
      </c>
    </row>
    <row customHeight="1" ht="14.699999999999998">
      <c r="Q37" s="377"/>
      <c r="R37" s="377"/>
      <c r="S37" s="1276"/>
      <c r="T37" s="364"/>
      <c r="U37" s="1245"/>
      <c r="V37" s="2253"/>
      <c r="W37" s="2253"/>
      <c r="X37" s="2253"/>
      <c r="Y37" s="2253"/>
      <c r="Z37" s="2253"/>
      <c r="AA37" s="2253"/>
      <c r="AB37" s="2253"/>
      <c r="AC37" s="2253"/>
      <c r="AD37" s="2253"/>
      <c r="AE37" s="2253"/>
      <c r="AF37" s="2253"/>
      <c r="AG37" s="2253"/>
      <c r="AH37" s="2253"/>
      <c r="AI37" s="2253"/>
      <c r="AJ37" s="2253"/>
      <c r="AK37" s="2253"/>
      <c r="AS37" s="1156">
        <v>14</v>
      </c>
    </row>
    <row customHeight="1" ht="14.699999999999998">
      <c r="Q38" s="377"/>
      <c r="R38" s="377"/>
      <c r="S38" s="2128" t="s">
        <v>317</v>
      </c>
      <c r="T38" s="2128"/>
      <c r="U38" s="2128"/>
      <c r="V38" s="2128"/>
      <c r="W38" s="2128"/>
      <c r="X38" s="2128"/>
      <c r="Y38" s="2128"/>
      <c r="Z38" s="2128"/>
      <c r="AA38" s="2128"/>
      <c r="AB38" s="2128"/>
      <c r="AC38" s="2128"/>
      <c r="AD38" s="2128"/>
      <c r="AE38" s="2128"/>
      <c r="AF38" s="2128"/>
      <c r="AG38" s="2128"/>
      <c r="AH38" s="2128"/>
      <c r="AI38" s="2128"/>
      <c r="AJ38" s="2128"/>
      <c r="AK38" s="2128"/>
      <c r="AL38" s="2128"/>
      <c r="AM38" s="2128" t="s">
        <v>318</v>
      </c>
      <c r="AS38" s="1156">
        <v>14</v>
      </c>
    </row>
    <row customHeight="1" ht="14.699999999999998">
      <c r="Q39" s="377"/>
      <c r="R39" s="377"/>
      <c r="S39" s="2274" t="s">
        <v>89</v>
      </c>
      <c r="T39" s="2210" t="s">
        <v>442</v>
      </c>
      <c r="U39" s="302"/>
      <c r="V39" s="2275" t="s">
        <v>443</v>
      </c>
      <c r="W39" s="2276"/>
      <c r="X39" s="2292"/>
      <c r="Y39" s="2292"/>
      <c r="Z39" s="2276"/>
      <c r="AA39" s="2276"/>
      <c r="AB39" s="2277"/>
      <c r="AC39" s="2278" t="s">
        <v>444</v>
      </c>
      <c r="AD39" s="2275" t="s">
        <v>443</v>
      </c>
      <c r="AE39" s="2276"/>
      <c r="AF39" s="2292"/>
      <c r="AG39" s="2292"/>
      <c r="AH39" s="2276"/>
      <c r="AI39" s="2276"/>
      <c r="AJ39" s="2277"/>
      <c r="AK39" s="2278" t="s">
        <v>445</v>
      </c>
      <c r="AL39" s="2281" t="s">
        <v>446</v>
      </c>
      <c r="AM39" s="2128"/>
      <c r="AS39" s="1156">
        <v>14</v>
      </c>
    </row>
    <row customHeight="1" ht="24">
      <c r="Q40" s="377"/>
      <c r="R40" s="377"/>
      <c r="S40" s="2274"/>
      <c r="T40" s="2210"/>
      <c r="U40" s="1032"/>
      <c r="V40" s="2293" t="s">
        <v>447</v>
      </c>
      <c r="W40" s="2295" t="s">
        <v>448</v>
      </c>
      <c r="X40" s="1377" t="s">
        <v>449</v>
      </c>
      <c r="Y40" s="1377"/>
      <c r="Z40" s="2270" t="s">
        <v>450</v>
      </c>
      <c r="AA40" s="2270"/>
      <c r="AB40" s="2264"/>
      <c r="AC40" s="2279"/>
      <c r="AD40" s="2293" t="s">
        <v>447</v>
      </c>
      <c r="AE40" s="2295" t="s">
        <v>448</v>
      </c>
      <c r="AF40" s="1377" t="s">
        <v>449</v>
      </c>
      <c r="AG40" s="1377"/>
      <c r="AH40" s="2270" t="s">
        <v>450</v>
      </c>
      <c r="AI40" s="2270"/>
      <c r="AJ40" s="2264"/>
      <c r="AK40" s="2279"/>
      <c r="AL40" s="2282"/>
      <c r="AM40" s="2128"/>
      <c r="AS40" s="1156">
        <v>23</v>
      </c>
    </row>
    <row s="1267" customFormat="1" customHeight="1" ht="24">
      <c r="A41" s="1371"/>
      <c r="B41" s="1371" t="s">
        <v>143</v>
      </c>
      <c r="C41" s="1371" t="s">
        <v>144</v>
      </c>
      <c r="D41" s="1371" t="s">
        <v>145</v>
      </c>
      <c r="E41" s="1365" t="s">
        <v>451</v>
      </c>
      <c r="F41" s="1365" t="s">
        <v>452</v>
      </c>
      <c r="G41" s="1365" t="s">
        <v>453</v>
      </c>
      <c r="H41" s="1365" t="s">
        <v>454</v>
      </c>
      <c r="I41" s="1365" t="s">
        <v>455</v>
      </c>
      <c r="J41" s="1365" t="s">
        <v>456</v>
      </c>
      <c r="K41" s="1365" t="s">
        <v>457</v>
      </c>
      <c r="L41" s="1365" t="s">
        <v>432</v>
      </c>
      <c r="M41" s="1363"/>
      <c r="N41" s="1363"/>
      <c r="O41" s="1363"/>
      <c r="P41" s="1329"/>
      <c r="Q41" s="377"/>
      <c r="R41" s="377"/>
      <c r="S41" s="2274"/>
      <c r="T41" s="2210"/>
      <c r="U41" s="303"/>
      <c r="V41" s="2294"/>
      <c r="W41" s="2296"/>
      <c r="X41" s="1374" t="s">
        <v>458</v>
      </c>
      <c r="Y41" s="1374" t="s">
        <v>459</v>
      </c>
      <c r="Z41" s="1335" t="s">
        <v>460</v>
      </c>
      <c r="AA41" s="2271" t="s">
        <v>461</v>
      </c>
      <c r="AB41" s="2272"/>
      <c r="AC41" s="2280"/>
      <c r="AD41" s="2294"/>
      <c r="AE41" s="2296"/>
      <c r="AF41" s="1374" t="s">
        <v>458</v>
      </c>
      <c r="AG41" s="1374" t="s">
        <v>459</v>
      </c>
      <c r="AH41" s="1335" t="s">
        <v>460</v>
      </c>
      <c r="AI41" s="2271" t="s">
        <v>461</v>
      </c>
      <c r="AJ41" s="2272"/>
      <c r="AK41" s="2280"/>
      <c r="AL41" s="2283"/>
      <c r="AM41" s="2128"/>
      <c r="AN41" s="512"/>
      <c r="AO41" s="501"/>
      <c r="AP41" s="501"/>
      <c r="AQ41" s="501"/>
      <c r="AR41" s="501"/>
      <c r="AS41" s="583">
        <v>23</v>
      </c>
    </row>
    <row s="1642" customFormat="1" customHeight="1" ht="11.25" hidden="1">
      <c r="A42" s="1371"/>
      <c r="B42" s="1371"/>
      <c r="C42" s="1371"/>
      <c r="D42" s="1371"/>
      <c r="E42" s="1371"/>
      <c r="F42" s="1371"/>
      <c r="G42" s="1371"/>
      <c r="H42" s="1371"/>
      <c r="I42" s="1371"/>
      <c r="J42" s="1371"/>
      <c r="K42" s="1371"/>
      <c r="L42" s="1365"/>
      <c r="M42" s="1363"/>
      <c r="N42" s="1363"/>
      <c r="O42" s="1363"/>
      <c r="P42" s="1247"/>
      <c r="Q42" s="1248"/>
      <c r="R42" s="1255">
        <v>1</v>
      </c>
      <c r="S42" s="1278" t="s">
        <v>118</v>
      </c>
      <c r="T42" s="1256" t="s">
        <v>103</v>
      </c>
      <c r="U42" s="1246" t="str">
        <f>OFFSET(U42,0,-1)</f>
        <v>2</v>
      </c>
      <c r="V42" s="1336">
        <f>OFFSET(V42,0,-1)+1</f>
        <v>3</v>
      </c>
      <c r="W42" s="1336"/>
      <c r="X42" s="1342">
        <f>OFFSET(X42,0,-1)+1</f>
        <v>1</v>
      </c>
      <c r="Y42" s="1342">
        <f>OFFSET(Y42,0,-1)+1</f>
        <v>2</v>
      </c>
      <c r="Z42" s="1336">
        <f>OFFSET(Z42,0,-1)+1</f>
        <v>3</v>
      </c>
      <c r="AA42" s="2273">
        <f>OFFSET(AA42,0,-1)+1</f>
        <v>4</v>
      </c>
      <c r="AB42" s="2273"/>
      <c r="AC42" s="1336">
        <f>OFFSET(AC42,0,-2)+1</f>
        <v>5</v>
      </c>
      <c r="AD42" s="1336">
        <f>OFFSET(AD42,0,-1)+1</f>
        <v>6</v>
      </c>
      <c r="AE42" s="1336"/>
      <c r="AF42" s="1342">
        <f>OFFSET(AF42,0,-1)+1</f>
        <v>1</v>
      </c>
      <c r="AG42" s="1342">
        <f>OFFSET(AG42,0,-1)+1</f>
        <v>2</v>
      </c>
      <c r="AH42" s="1336">
        <f>OFFSET(AH42,0,-1)+1</f>
        <v>3</v>
      </c>
      <c r="AI42" s="2273">
        <f>OFFSET(AI42,0,-1)+1</f>
        <v>4</v>
      </c>
      <c r="AJ42" s="2273"/>
      <c r="AK42" s="1336">
        <f>OFFSET(AK42,0,-2)+1</f>
        <v>5</v>
      </c>
      <c r="AL42" s="1246">
        <f>OFFSET(AL42,0,-1)</f>
        <v>5</v>
      </c>
      <c r="AM42" s="1336">
        <f>OFFSET(AM42,0,-1)+1</f>
        <v>6</v>
      </c>
      <c r="AN42" s="512"/>
      <c r="AO42" s="512"/>
      <c r="AP42" s="512"/>
      <c r="AQ42" s="512"/>
      <c r="AR42" s="512"/>
      <c r="AS42" s="497">
        <v>0</v>
      </c>
    </row>
    <row customHeight="1" ht="22.049999999999997">
      <c r="A43" s="1364" t="s">
        <v>211</v>
      </c>
      <c r="B43" s="1364"/>
      <c r="C43" s="1364"/>
      <c r="D43" s="1364"/>
      <c r="E43" s="2259">
        <v>1</v>
      </c>
      <c r="F43" s="1364"/>
      <c r="G43" s="1364"/>
      <c r="H43" s="1364"/>
      <c r="I43" s="1364"/>
      <c r="J43" s="1364"/>
      <c r="K43" s="1364"/>
      <c r="L43" s="1365"/>
      <c r="M43" s="1366"/>
      <c r="N43" s="1366"/>
      <c r="O43" s="1366"/>
      <c r="P43" s="362"/>
      <c r="Q43" s="361"/>
      <c r="R43" s="356"/>
      <c r="S43" s="1337">
        <f>INDEX(PT_DIFFERENTIATION_NUM_NTAR,MATCH(A43,PT_DIFFERENTIATION_NTAR_ID,0))</f>
        <v>0</v>
      </c>
      <c r="T43" s="299" t="s">
        <v>131</v>
      </c>
      <c r="U43" s="301"/>
      <c r="V43" s="2243"/>
      <c r="W43" s="2244"/>
      <c r="X43" s="2244"/>
      <c r="Y43" s="2244"/>
      <c r="Z43" s="2244"/>
      <c r="AA43" s="2244"/>
      <c r="AB43" s="2244"/>
      <c r="AC43" s="2245"/>
      <c r="AD43" s="2243" t="str">
        <f>INDEX(PT_DIFFERENTIATION_NTAR,MATCH(A43,PT_DIFFERENTIATION_NTAR_ID,0))</f>
        <v/>
      </c>
      <c r="AE43" s="2244"/>
      <c r="AF43" s="2244"/>
      <c r="AG43" s="2244"/>
      <c r="AH43" s="2244"/>
      <c r="AI43" s="2244"/>
      <c r="AJ43" s="2244"/>
      <c r="AK43" s="2244"/>
      <c r="AL43" s="2245"/>
      <c r="AM43" s="1259" t="str">
        <f>IF(TEMPLATE_GROUP="P","По данной форме раскрывается в том числе информация об индикативном предельном уровне цены на тепловую энергию (мощность), который определен в соответствии с Правилами определения в ценовых зонах теплоснабжения предельного уровня "&amp;"цены на тепловую энергию (мощность), включая правила индексации предельного уровня цены на тепловую энергию (мощность), "&amp;"утвержденными постановлением Правительства Российской Федерации от 15 декабря 2017 г. N 1562 (далее - Правила), о графике поэтапного равномерного доведения предельного уровня цены на тепловую энергию (мощность) до уровня, "&amp;"определяемого в соответствии с указанными "&amp;"Правилами, а также информация о тарифах на товары (услуги) в сфере теплоснабжения в случаях, указанных частях 12 1 - 12 4 статьи 10 Федерального закона от 27 июля 2010 г. N 190-ФЗ ""О теплоснабжении"", "&amp;"теплоснабжающей организации, теплосетевой организации в ценовых зонах теплоснабжения. Для каждого вида тарифа в сфере теплоснабжения форма заполняется отдельно."&amp;"
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"&amp;"об установлении цены (тарифа), источник официального опубликования решения об установлении цены (тарифа) в сфере теплоснабжения.","Для каждого вида тарифа в сфере теплоснабжения форма заполняется отдельно.
"&amp;"В соответствии с данной формой раскрывается информация о расчетной величине тарифов в сфере теплоснабжения на товары (услуги) в случаях, указанных в частях 12 1 - 12 4 статьи 10 Федерального закона от 27 июля 2010 г. N 190-ФЗ ""О теплоснабжении"". "&amp;"Указывается наименование тарифа в случае "&amp;IF(TEMPLATE_GROUP="P","утверждения","предложения")&amp;" нескольких тарифов.
В случае наличия нескольких тарифов информация по ним указывается в отдельных строках.")</f>
        <v>Для каждого вида тарифа в сфере теплоснабжения форма заполняется отдельно.
В соответствии с данной формой раскрывается информация о расчетной величине тарифов в сфере теплоснабжения на товары (услуги) в случаях, указанных в частях 12 1 - 12 4 статьи 10 Федерального закона от 27 июля 2010 г. N 190-ФЗ "О теплоснабжении". Указывается наименование тарифа в случае предложения нескольких тарифов.
В случае наличия нескольких тарифов информация по ним указывается в отдельных строках.</v>
      </c>
      <c r="AO43" s="501"/>
      <c r="AP43" s="501" t="str">
        <f>IF(T43="","",T43)</f>
        <v>Наименование тарифа</v>
      </c>
      <c r="AQ43" s="501"/>
      <c r="AR43" s="501"/>
      <c r="AS43" s="1156">
        <v>21</v>
      </c>
    </row>
    <row customHeight="1" ht="22.049999999999997">
      <c r="A44" s="1364" t="s">
        <v>211</v>
      </c>
      <c r="B44" s="1364" t="s">
        <v>212</v>
      </c>
      <c r="C44" s="1364"/>
      <c r="D44" s="1364"/>
      <c r="E44" s="2260"/>
      <c r="F44" s="2259">
        <v>1</v>
      </c>
      <c r="G44" s="1364"/>
      <c r="H44" s="1364"/>
      <c r="I44" s="1364"/>
      <c r="J44" s="1364"/>
      <c r="K44" s="1364"/>
      <c r="L44" s="1365"/>
      <c r="M44" s="1366"/>
      <c r="N44" s="1366"/>
      <c r="O44" s="1366"/>
      <c r="P44" s="1333"/>
      <c r="Q44" s="353"/>
      <c r="R44" s="354"/>
      <c r="S44" s="1337" t="str">
        <f>INDEX(PT_DIFFERENTIATION_NUM_TER,MATCH(B44,PT_DIFFERENTIATION_TER_ID,0))</f>
        <v>.</v>
      </c>
      <c r="T44" s="309" t="s">
        <v>414</v>
      </c>
      <c r="U44" s="301"/>
      <c r="V44" s="2243"/>
      <c r="W44" s="2244"/>
      <c r="X44" s="2244"/>
      <c r="Y44" s="2244"/>
      <c r="Z44" s="2244"/>
      <c r="AA44" s="2244"/>
      <c r="AB44" s="2244"/>
      <c r="AC44" s="2245"/>
      <c r="AD44" s="2243" t="str">
        <f>INDEX(PT_DIFFERENTIATION_TER,MATCH(B44,PT_DIFFERENTIATION_TER_ID,0))</f>
        <v/>
      </c>
      <c r="AE44" s="2244"/>
      <c r="AF44" s="2244"/>
      <c r="AG44" s="2244"/>
      <c r="AH44" s="2244"/>
      <c r="AI44" s="2244"/>
      <c r="AJ44" s="2244"/>
      <c r="AK44" s="2244"/>
      <c r="AL44" s="2245"/>
      <c r="AM44" s="1259" t="s">
        <v>415</v>
      </c>
      <c r="AO44" s="501"/>
      <c r="AP44" s="501" t="str">
        <f>IF(T44="","",T44)</f>
        <v>Территория действия тарифа</v>
      </c>
      <c r="AQ44" s="501"/>
      <c r="AR44" s="501"/>
      <c r="AS44" s="1156">
        <v>21</v>
      </c>
    </row>
    <row customHeight="1" ht="24">
      <c r="A45" s="1364" t="s">
        <v>211</v>
      </c>
      <c r="B45" s="1364" t="s">
        <v>212</v>
      </c>
      <c r="C45" s="1364" t="s">
        <v>213</v>
      </c>
      <c r="D45" s="1364"/>
      <c r="E45" s="2260"/>
      <c r="F45" s="2260"/>
      <c r="G45" s="2259">
        <v>1</v>
      </c>
      <c r="H45" s="1364"/>
      <c r="I45" s="1364"/>
      <c r="J45" s="1364"/>
      <c r="K45" s="1364"/>
      <c r="L45" s="1365"/>
      <c r="M45" s="1366"/>
      <c r="N45" s="1366"/>
      <c r="O45" s="1366"/>
      <c r="P45" s="355"/>
      <c r="Q45" s="353"/>
      <c r="R45" s="354"/>
      <c r="S45" s="1337" t="str">
        <f>INDEX(PT_DIFFERENTIATION_NUM_CS,MATCH(C45,PT_DIFFERENTIATION_CS_ID,0))</f>
        <v>..</v>
      </c>
      <c r="T45" s="310" t="s">
        <v>416</v>
      </c>
      <c r="U45" s="301"/>
      <c r="V45" s="2243"/>
      <c r="W45" s="2244"/>
      <c r="X45" s="2244"/>
      <c r="Y45" s="2244"/>
      <c r="Z45" s="2244"/>
      <c r="AA45" s="2244"/>
      <c r="AB45" s="2244"/>
      <c r="AC45" s="2245"/>
      <c r="AD45" s="2243" t="str">
        <f>INDEX(PT_DIFFERENTIATION_CS,MATCH(C45,PT_DIFFERENTIATION_CS_ID,0))</f>
        <v/>
      </c>
      <c r="AE45" s="2244"/>
      <c r="AF45" s="2244"/>
      <c r="AG45" s="2244"/>
      <c r="AH45" s="2244"/>
      <c r="AI45" s="2244"/>
      <c r="AJ45" s="2244"/>
      <c r="AK45" s="2244"/>
      <c r="AL45" s="2245"/>
      <c r="AM45" s="1259" t="s">
        <v>417</v>
      </c>
      <c r="AO45" s="501"/>
      <c r="AP45" s="501" t="str">
        <f>IF(T45="","",T45)</f>
        <v>Наименование системы теплоснабжения </v>
      </c>
      <c r="AQ45" s="501"/>
      <c r="AR45" s="501"/>
      <c r="AS45" s="1156">
        <v>23</v>
      </c>
    </row>
    <row customHeight="1" ht="22.049999999999997">
      <c r="A46" s="1364" t="s">
        <v>211</v>
      </c>
      <c r="B46" s="1364" t="s">
        <v>212</v>
      </c>
      <c r="C46" s="1364" t="s">
        <v>213</v>
      </c>
      <c r="D46" s="1364" t="s">
        <v>214</v>
      </c>
      <c r="E46" s="2260"/>
      <c r="F46" s="2260"/>
      <c r="G46" s="2260"/>
      <c r="H46" s="2259">
        <v>1</v>
      </c>
      <c r="I46" s="1364"/>
      <c r="J46" s="1364"/>
      <c r="K46" s="1364"/>
      <c r="L46" s="1365"/>
      <c r="M46" s="1366"/>
      <c r="N46" s="1366"/>
      <c r="O46" s="1366"/>
      <c r="P46" s="355"/>
      <c r="Q46" s="353"/>
      <c r="R46" s="354"/>
      <c r="S46" s="1337" t="str">
        <f>INDEX(PT_DIFFERENTIATION_NUM_IST_TE,MATCH(D46,PT_DIFFERENTIATION_IST_TE_ID,0))</f>
        <v>...</v>
      </c>
      <c r="T46" s="311" t="s">
        <v>418</v>
      </c>
      <c r="U46" s="301"/>
      <c r="V46" s="2243"/>
      <c r="W46" s="2244"/>
      <c r="X46" s="2244"/>
      <c r="Y46" s="2244"/>
      <c r="Z46" s="2244"/>
      <c r="AA46" s="2244"/>
      <c r="AB46" s="2244"/>
      <c r="AC46" s="2245"/>
      <c r="AD46" s="2243" t="str">
        <f>INDEX(PT_DIFFERENTIATION_IST_TE,MATCH(D46,PT_DIFFERENTIATION_IST_TE_ID,0))</f>
        <v/>
      </c>
      <c r="AE46" s="2244"/>
      <c r="AF46" s="2244"/>
      <c r="AG46" s="2244"/>
      <c r="AH46" s="2244"/>
      <c r="AI46" s="2244"/>
      <c r="AJ46" s="2244"/>
      <c r="AK46" s="2244"/>
      <c r="AL46" s="2245"/>
      <c r="AM46" s="1259" t="s">
        <v>419</v>
      </c>
      <c r="AO46" s="501"/>
      <c r="AP46" s="501" t="str">
        <f>IF(T46="","",T46)</f>
        <v>Источник тепловой энергии  </v>
      </c>
      <c r="AQ46" s="501"/>
      <c r="AR46" s="501"/>
      <c r="AS46" s="1156">
        <v>21</v>
      </c>
    </row>
    <row customHeight="1" ht="49.5">
      <c r="A47" s="1364" t="s">
        <v>211</v>
      </c>
      <c r="B47" s="1364" t="s">
        <v>212</v>
      </c>
      <c r="C47" s="1364" t="s">
        <v>213</v>
      </c>
      <c r="D47" s="1364" t="s">
        <v>214</v>
      </c>
      <c r="E47" s="2260"/>
      <c r="F47" s="2260"/>
      <c r="G47" s="2260"/>
      <c r="H47" s="2260"/>
      <c r="I47" s="2257" t="str">
        <f>S46&amp;".1"</f>
        <v>....1</v>
      </c>
      <c r="J47" s="1364"/>
      <c r="K47" s="1364"/>
      <c r="L47" s="1365" t="s">
        <v>420</v>
      </c>
      <c r="P47" s="2258">
        <v>1</v>
      </c>
      <c r="Q47" s="1332"/>
      <c r="R47" s="357"/>
      <c r="S47" s="1337" t="str">
        <f>$I47</f>
        <v>....1</v>
      </c>
      <c r="T47" s="286" t="s">
        <v>421</v>
      </c>
      <c r="U47" s="301"/>
      <c r="V47" s="2246"/>
      <c r="W47" s="2247"/>
      <c r="X47" s="2247"/>
      <c r="Y47" s="2247"/>
      <c r="Z47" s="2247"/>
      <c r="AA47" s="2247"/>
      <c r="AB47" s="2247"/>
      <c r="AC47" s="2248"/>
      <c r="AD47" s="2246"/>
      <c r="AE47" s="2247"/>
      <c r="AF47" s="2247"/>
      <c r="AG47" s="2247"/>
      <c r="AH47" s="2247"/>
      <c r="AI47" s="2247"/>
      <c r="AJ47" s="2247"/>
      <c r="AK47" s="2247"/>
      <c r="AL47" s="2248"/>
      <c r="AM47" s="1259" t="s">
        <v>422</v>
      </c>
      <c r="AO47" s="501"/>
      <c r="AP47" s="501" t="str">
        <f>IF(T47="","",T47)</f>
        <v>Схема подключения теплопотребляющей установки к коллектору источника тепловой энергии</v>
      </c>
      <c r="AQ47" s="501"/>
      <c r="AR47" s="501"/>
      <c r="AS47" s="1156">
        <v>47</v>
      </c>
    </row>
    <row customHeight="1" ht="22.049999999999997">
      <c r="A48" s="1364" t="s">
        <v>211</v>
      </c>
      <c r="B48" s="1364" t="s">
        <v>212</v>
      </c>
      <c r="C48" s="1364" t="s">
        <v>213</v>
      </c>
      <c r="D48" s="1364" t="s">
        <v>214</v>
      </c>
      <c r="E48" s="2260"/>
      <c r="F48" s="2260"/>
      <c r="G48" s="2260"/>
      <c r="H48" s="2260"/>
      <c r="I48" s="2287"/>
      <c r="J48" s="2257" t="str">
        <f>I47&amp;".1"</f>
        <v>....1.1</v>
      </c>
      <c r="K48" s="1364"/>
      <c r="L48" s="1365" t="s">
        <v>423</v>
      </c>
      <c r="P48" s="2258"/>
      <c r="Q48" s="2258">
        <v>1</v>
      </c>
      <c r="R48" s="358"/>
      <c r="S48" s="1337" t="str">
        <f>$J48</f>
        <v>....1.1</v>
      </c>
      <c r="T48" s="287" t="s">
        <v>424</v>
      </c>
      <c r="U48" s="301"/>
      <c r="V48" s="2246"/>
      <c r="W48" s="2247"/>
      <c r="X48" s="2247"/>
      <c r="Y48" s="2247"/>
      <c r="Z48" s="2247"/>
      <c r="AA48" s="2247"/>
      <c r="AB48" s="2247"/>
      <c r="AC48" s="2248"/>
      <c r="AD48" s="2246"/>
      <c r="AE48" s="2247"/>
      <c r="AF48" s="2247"/>
      <c r="AG48" s="2247"/>
      <c r="AH48" s="2247"/>
      <c r="AI48" s="2247"/>
      <c r="AJ48" s="2247"/>
      <c r="AK48" s="2247"/>
      <c r="AL48" s="2248"/>
      <c r="AM48" s="1259" t="s">
        <v>425</v>
      </c>
      <c r="AO48" s="501"/>
      <c r="AP48" s="501" t="str">
        <f>IF(T48="","",T48)</f>
        <v>Группа потребителей</v>
      </c>
      <c r="AQ48" s="501"/>
      <c r="AR48" s="501"/>
      <c r="AS48" s="1156">
        <v>21</v>
      </c>
    </row>
    <row customHeight="1" ht="22.049999999999997">
      <c r="A49" s="1364" t="s">
        <v>211</v>
      </c>
      <c r="B49" s="1364" t="s">
        <v>212</v>
      </c>
      <c r="C49" s="1364" t="s">
        <v>213</v>
      </c>
      <c r="D49" s="1364" t="s">
        <v>214</v>
      </c>
      <c r="E49" s="2260"/>
      <c r="F49" s="2260"/>
      <c r="G49" s="2260"/>
      <c r="H49" s="2260"/>
      <c r="I49" s="2287"/>
      <c r="J49" s="2287"/>
      <c r="K49" s="2257" t="str">
        <f>J48&amp;".1"</f>
        <v>....1.1.1</v>
      </c>
      <c r="L49" s="1365" t="s">
        <v>426</v>
      </c>
      <c r="P49" s="2258"/>
      <c r="Q49" s="2258"/>
      <c r="R49" s="358">
        <v>1</v>
      </c>
      <c r="S49" s="1337" t="str">
        <f>$K49</f>
        <v>....1.1.1</v>
      </c>
      <c r="T49" s="1348"/>
      <c r="U49" s="301"/>
      <c r="V49" s="326"/>
      <c r="W49" s="752"/>
      <c r="X49" s="326"/>
      <c r="Y49" s="385"/>
      <c r="Z49" s="2266"/>
      <c r="AA49" s="2108" t="s">
        <v>61</v>
      </c>
      <c r="AB49" s="2266"/>
      <c r="AC49" s="2108" t="s">
        <v>61</v>
      </c>
      <c r="AD49" s="326"/>
      <c r="AE49" s="752"/>
      <c r="AF49" s="326"/>
      <c r="AG49" s="385"/>
      <c r="AH49" s="2266"/>
      <c r="AI49" s="2108" t="s">
        <v>61</v>
      </c>
      <c r="AJ49" s="2288"/>
      <c r="AK49" s="2108" t="s">
        <v>61</v>
      </c>
      <c r="AL49" s="1349"/>
      <c r="AM49" s="2254" t="s">
        <v>427</v>
      </c>
      <c r="AN49" s="512">
        <f>STRCHECKDATE(V50:AL50)</f>
      </c>
      <c r="AO49" s="501"/>
      <c r="AP49" s="501" t="str">
        <f>IF(T49="","",T49)</f>
        <v/>
      </c>
      <c r="AQ49" s="501"/>
      <c r="AR49" s="501"/>
      <c r="AS49" s="1156">
        <v>21</v>
      </c>
    </row>
    <row customHeight="1" ht="1.05">
      <c r="A50" s="1364" t="s">
        <v>211</v>
      </c>
      <c r="B50" s="1364" t="s">
        <v>212</v>
      </c>
      <c r="C50" s="1364" t="s">
        <v>213</v>
      </c>
      <c r="D50" s="1364" t="s">
        <v>214</v>
      </c>
      <c r="E50" s="2260"/>
      <c r="F50" s="2260"/>
      <c r="G50" s="2260"/>
      <c r="H50" s="2260"/>
      <c r="I50" s="2287"/>
      <c r="J50" s="2287"/>
      <c r="K50" s="2257"/>
      <c r="L50" s="1365"/>
      <c r="P50" s="2258"/>
      <c r="Q50" s="2258"/>
      <c r="R50" s="358"/>
      <c r="S50" s="1343"/>
      <c r="T50" s="301"/>
      <c r="U50" s="301"/>
      <c r="V50" s="326"/>
      <c r="W50" s="326"/>
      <c r="X50" s="326"/>
      <c r="Y50" s="329" t="str">
        <f>Z49&amp;"-"&amp;AB49</f>
        <v>-</v>
      </c>
      <c r="Z50" s="2267"/>
      <c r="AA50" s="2108"/>
      <c r="AB50" s="2267"/>
      <c r="AC50" s="2108"/>
      <c r="AD50" s="326"/>
      <c r="AE50" s="326"/>
      <c r="AF50" s="326"/>
      <c r="AG50" s="329" t="str">
        <f>AH49&amp;"-"&amp;AJ49</f>
        <v>-</v>
      </c>
      <c r="AH50" s="2267"/>
      <c r="AI50" s="2108"/>
      <c r="AJ50" s="2289"/>
      <c r="AK50" s="2108"/>
      <c r="AL50" s="1350"/>
      <c r="AM50" s="2255"/>
      <c r="AO50" s="501"/>
      <c r="AP50" s="501" t="str">
        <f>IF(T50="","",T50)</f>
        <v/>
      </c>
      <c r="AQ50" s="501"/>
      <c r="AR50" s="501"/>
      <c r="AS50" s="1156">
        <v>1</v>
      </c>
    </row>
    <row customHeight="1" ht="11.549999999999999">
      <c r="A51" s="1364" t="s">
        <v>211</v>
      </c>
      <c r="B51" s="1364" t="s">
        <v>212</v>
      </c>
      <c r="C51" s="1364" t="s">
        <v>213</v>
      </c>
      <c r="D51" s="1364" t="s">
        <v>214</v>
      </c>
      <c r="E51" s="2260"/>
      <c r="F51" s="2260"/>
      <c r="G51" s="2260"/>
      <c r="H51" s="2260"/>
      <c r="I51" s="2287"/>
      <c r="J51" s="2257"/>
      <c r="K51" s="1364"/>
      <c r="L51" s="1365"/>
      <c r="P51" s="2258"/>
      <c r="Q51" s="2258"/>
      <c r="R51" s="357"/>
      <c r="S51" s="1279"/>
      <c r="T51" s="289" t="s">
        <v>428</v>
      </c>
      <c r="U51" s="368"/>
      <c r="V51" s="368"/>
      <c r="W51" s="368"/>
      <c r="X51" s="368"/>
      <c r="Y51" s="368"/>
      <c r="Z51" s="368"/>
      <c r="AA51" s="368"/>
      <c r="AB51" s="368"/>
      <c r="AC51" s="368"/>
      <c r="AD51" s="368"/>
      <c r="AE51" s="368"/>
      <c r="AF51" s="368"/>
      <c r="AG51" s="368"/>
      <c r="AH51" s="368"/>
      <c r="AI51" s="368"/>
      <c r="AJ51" s="368"/>
      <c r="AK51" s="368"/>
      <c r="AL51" s="325"/>
      <c r="AM51" s="2256"/>
      <c r="AO51" s="501"/>
      <c r="AP51" s="501" t="str">
        <f>IF(T51="","",T51)</f>
        <v>Добавить вид теплоносителя (параметры теплоносителя)</v>
      </c>
      <c r="AQ51" s="501"/>
      <c r="AR51" s="501"/>
      <c r="AS51" s="1156">
        <v>11</v>
      </c>
    </row>
    <row customHeight="1" ht="11.549999999999999">
      <c r="A52" s="1364" t="s">
        <v>211</v>
      </c>
      <c r="B52" s="1364" t="s">
        <v>212</v>
      </c>
      <c r="C52" s="1364" t="s">
        <v>213</v>
      </c>
      <c r="D52" s="1364" t="s">
        <v>214</v>
      </c>
      <c r="E52" s="2260"/>
      <c r="F52" s="2260"/>
      <c r="G52" s="2260"/>
      <c r="H52" s="2260"/>
      <c r="I52" s="2257"/>
      <c r="J52" s="1364"/>
      <c r="K52" s="1364"/>
      <c r="L52" s="1365"/>
      <c r="P52" s="2258"/>
      <c r="Q52" s="1332"/>
      <c r="R52" s="357"/>
      <c r="S52" s="1279"/>
      <c r="T52" s="288" t="s">
        <v>429</v>
      </c>
      <c r="U52" s="368"/>
      <c r="V52" s="368"/>
      <c r="W52" s="368"/>
      <c r="X52" s="368"/>
      <c r="Y52" s="368"/>
      <c r="Z52" s="368"/>
      <c r="AA52" s="368"/>
      <c r="AB52" s="368"/>
      <c r="AC52" s="367"/>
      <c r="AD52" s="368"/>
      <c r="AE52" s="368"/>
      <c r="AF52" s="368"/>
      <c r="AG52" s="368"/>
      <c r="AH52" s="368"/>
      <c r="AI52" s="368"/>
      <c r="AJ52" s="368"/>
      <c r="AK52" s="367"/>
      <c r="AL52" s="368"/>
      <c r="AM52" s="304"/>
      <c r="AO52" s="501"/>
      <c r="AP52" s="501" t="str">
        <f>IF(T52="","",T52)</f>
        <v>Добавить группу потребителей</v>
      </c>
      <c r="AQ52" s="501"/>
      <c r="AR52" s="501"/>
      <c r="AS52" s="1156">
        <v>11</v>
      </c>
    </row>
    <row customHeight="1" ht="14.699999999999998">
      <c r="A53" s="1364" t="s">
        <v>211</v>
      </c>
      <c r="B53" s="1364" t="s">
        <v>212</v>
      </c>
      <c r="C53" s="1364" t="s">
        <v>213</v>
      </c>
      <c r="D53" s="1364" t="s">
        <v>214</v>
      </c>
      <c r="E53" s="2260"/>
      <c r="F53" s="2260"/>
      <c r="G53" s="2260"/>
      <c r="H53" s="2259"/>
      <c r="I53" s="1364"/>
      <c r="J53" s="1364"/>
      <c r="K53" s="1364"/>
      <c r="L53" s="1365"/>
      <c r="M53" s="1366"/>
      <c r="N53" s="1366"/>
      <c r="O53" s="538"/>
      <c r="P53" s="361"/>
      <c r="Q53" s="376"/>
      <c r="R53" s="356"/>
      <c r="S53" s="1279"/>
      <c r="T53" s="366" t="s">
        <v>430</v>
      </c>
      <c r="U53" s="368"/>
      <c r="V53" s="368"/>
      <c r="W53" s="368"/>
      <c r="X53" s="368"/>
      <c r="Y53" s="368"/>
      <c r="Z53" s="368"/>
      <c r="AA53" s="368"/>
      <c r="AB53" s="368"/>
      <c r="AC53" s="367"/>
      <c r="AD53" s="368"/>
      <c r="AE53" s="368"/>
      <c r="AF53" s="368"/>
      <c r="AG53" s="368"/>
      <c r="AH53" s="368"/>
      <c r="AI53" s="368"/>
      <c r="AJ53" s="368"/>
      <c r="AK53" s="367"/>
      <c r="AL53" s="368"/>
      <c r="AM53" s="304"/>
      <c r="AO53" s="501"/>
      <c r="AP53" s="501" t="str">
        <f>IF(T53="","",T53)</f>
        <v>Добавить схему подключения</v>
      </c>
      <c r="AQ53" s="501"/>
      <c r="AR53" s="501"/>
      <c r="AS53" s="1156">
        <v>14</v>
      </c>
    </row>
    <row s="1643" customFormat="1" customHeight="1" ht="1.05">
      <c r="A54" s="1344" t="s">
        <v>211</v>
      </c>
      <c r="B54" s="1344" t="s">
        <v>212</v>
      </c>
      <c r="C54" s="1344" t="s">
        <v>213</v>
      </c>
      <c r="D54" s="1315"/>
      <c r="E54" s="2260"/>
      <c r="F54" s="2260"/>
      <c r="G54" s="2259"/>
      <c r="H54" s="1315"/>
      <c r="I54" s="1315"/>
      <c r="J54" s="1315"/>
      <c r="K54" s="1315"/>
      <c r="L54" s="1340"/>
      <c r="M54" s="1316"/>
      <c r="N54" s="1316"/>
      <c r="P54" s="1317"/>
      <c r="Q54" s="1318"/>
      <c r="R54" s="1317"/>
      <c r="S54" s="1323"/>
      <c r="T54" s="1326" t="s">
        <v>176</v>
      </c>
      <c r="U54" s="1325"/>
      <c r="V54" s="1325"/>
      <c r="W54" s="1325"/>
      <c r="X54" s="1325"/>
      <c r="Y54" s="1325"/>
      <c r="Z54" s="1325"/>
      <c r="AA54" s="1325"/>
      <c r="AB54" s="1325"/>
      <c r="AC54" s="1325"/>
      <c r="AD54" s="1325"/>
      <c r="AE54" s="1325"/>
      <c r="AF54" s="1325"/>
      <c r="AG54" s="1325"/>
      <c r="AH54" s="1325"/>
      <c r="AI54" s="1325"/>
      <c r="AJ54" s="1325"/>
      <c r="AK54" s="1325"/>
      <c r="AL54" s="1325"/>
      <c r="AM54" s="1325"/>
      <c r="AO54" s="790"/>
      <c r="AP54" s="790" t="str">
        <f>IF(T54="","",T54)</f>
        <v>Добавить источник для дифференциации</v>
      </c>
      <c r="AQ54" s="790"/>
      <c r="AR54" s="790"/>
      <c r="AS54" s="519">
        <v>1</v>
      </c>
    </row>
    <row s="1643" customFormat="1" customHeight="1" ht="1.05">
      <c r="A55" s="1344" t="s">
        <v>211</v>
      </c>
      <c r="B55" s="1344" t="s">
        <v>212</v>
      </c>
      <c r="C55" s="1315"/>
      <c r="D55" s="1315"/>
      <c r="E55" s="2260"/>
      <c r="F55" s="2259"/>
      <c r="G55" s="1315"/>
      <c r="H55" s="1315"/>
      <c r="I55" s="1315"/>
      <c r="J55" s="1315"/>
      <c r="K55" s="1315"/>
      <c r="L55" s="1340"/>
      <c r="M55" s="1322"/>
      <c r="N55" s="1322"/>
      <c r="P55" s="1317"/>
      <c r="Q55" s="1318"/>
      <c r="R55" s="1317"/>
      <c r="S55" s="1323"/>
      <c r="T55" s="1326" t="s">
        <v>177</v>
      </c>
      <c r="U55" s="1325"/>
      <c r="V55" s="1325"/>
      <c r="W55" s="1325"/>
      <c r="X55" s="1325"/>
      <c r="Y55" s="1325"/>
      <c r="Z55" s="1325"/>
      <c r="AA55" s="1325"/>
      <c r="AB55" s="1325"/>
      <c r="AC55" s="1325"/>
      <c r="AD55" s="1325"/>
      <c r="AE55" s="1325"/>
      <c r="AF55" s="1325"/>
      <c r="AG55" s="1325"/>
      <c r="AH55" s="1325"/>
      <c r="AI55" s="1325"/>
      <c r="AJ55" s="1325"/>
      <c r="AK55" s="1325"/>
      <c r="AL55" s="1325"/>
      <c r="AM55" s="1325"/>
      <c r="AO55" s="790"/>
      <c r="AP55" s="790" t="str">
        <f>IF(T55="","",T55)</f>
        <v>Добавить централизованную систему для дифференциации</v>
      </c>
      <c r="AQ55" s="790"/>
      <c r="AR55" s="790"/>
      <c r="AS55" s="519">
        <v>1</v>
      </c>
    </row>
    <row s="1643" customFormat="1" customHeight="1" ht="1.05">
      <c r="A56" s="1344" t="s">
        <v>211</v>
      </c>
      <c r="B56" s="1344"/>
      <c r="C56" s="1344"/>
      <c r="D56" s="1344"/>
      <c r="E56" s="2259"/>
      <c r="F56" s="1344"/>
      <c r="G56" s="1344"/>
      <c r="H56" s="1344"/>
      <c r="I56" s="1344"/>
      <c r="J56" s="1344"/>
      <c r="K56" s="1344"/>
      <c r="L56" s="1347"/>
      <c r="M56" s="1322"/>
      <c r="N56" s="1322"/>
      <c r="O56" s="519"/>
      <c r="P56" s="381"/>
      <c r="Q56" s="1345"/>
      <c r="R56" s="381"/>
      <c r="S56" s="1323"/>
      <c r="T56" s="1326" t="s">
        <v>178</v>
      </c>
      <c r="U56" s="1325"/>
      <c r="V56" s="1325"/>
      <c r="W56" s="1325"/>
      <c r="X56" s="1325"/>
      <c r="Y56" s="1325"/>
      <c r="Z56" s="1325"/>
      <c r="AA56" s="1325"/>
      <c r="AB56" s="1325"/>
      <c r="AC56" s="1325"/>
      <c r="AD56" s="1325"/>
      <c r="AE56" s="1325"/>
      <c r="AF56" s="1325"/>
      <c r="AG56" s="1325"/>
      <c r="AH56" s="1325"/>
      <c r="AI56" s="1325"/>
      <c r="AJ56" s="1325"/>
      <c r="AK56" s="1325"/>
      <c r="AL56" s="1325"/>
      <c r="AM56" s="1325"/>
      <c r="AO56" s="501"/>
      <c r="AP56" s="501" t="str">
        <f>IF(T56="","",T56)</f>
        <v>Добавить территорию для дифференциации</v>
      </c>
      <c r="AQ56" s="501"/>
      <c r="AR56" s="501"/>
      <c r="AS56" s="512">
        <v>1</v>
      </c>
    </row>
    <row s="1643" customFormat="1" customHeight="1" ht="1.05">
      <c r="A57" s="1315"/>
      <c r="B57" s="1315"/>
      <c r="C57" s="1315"/>
      <c r="D57" s="1315"/>
      <c r="E57" s="1344"/>
      <c r="F57" s="1315"/>
      <c r="G57" s="1315"/>
      <c r="H57" s="1315"/>
      <c r="I57" s="1315"/>
      <c r="J57" s="1315"/>
      <c r="K57" s="1315"/>
      <c r="L57" s="1340"/>
      <c r="M57" s="1322"/>
      <c r="N57" s="1322"/>
      <c r="P57" s="1317"/>
      <c r="Q57" s="1318"/>
      <c r="R57" s="1317"/>
      <c r="S57" s="1323"/>
      <c r="T57" s="1326" t="s">
        <v>184</v>
      </c>
      <c r="U57" s="1325"/>
      <c r="V57" s="1325"/>
      <c r="W57" s="1325"/>
      <c r="X57" s="1325"/>
      <c r="Y57" s="1325"/>
      <c r="Z57" s="1325"/>
      <c r="AA57" s="1325"/>
      <c r="AB57" s="1325"/>
      <c r="AC57" s="1325"/>
      <c r="AD57" s="1325"/>
      <c r="AE57" s="1325"/>
      <c r="AF57" s="1325"/>
      <c r="AG57" s="1325"/>
      <c r="AH57" s="1325"/>
      <c r="AI57" s="1325"/>
      <c r="AJ57" s="1325"/>
      <c r="AK57" s="1325"/>
      <c r="AL57" s="1325"/>
      <c r="AM57" s="1325"/>
      <c r="AO57" s="790"/>
      <c r="AP57" s="790" t="str">
        <f>IF(T57="","",T57)</f>
        <v>Добавить наименование тарифа</v>
      </c>
      <c r="AQ57" s="790"/>
      <c r="AR57" s="790"/>
      <c r="AS57" s="519">
        <v>1</v>
      </c>
    </row>
    <row customHeight="1" ht="11.549999999999999">
      <c r="M58" s="1161"/>
      <c r="N58" s="1161"/>
      <c r="O58" s="538"/>
      <c r="P58" s="1156"/>
      <c r="Q58" s="1156"/>
      <c r="R58" s="1156"/>
      <c r="S58" s="1156"/>
      <c r="AN58" s="1156"/>
      <c r="AO58" s="1156"/>
      <c r="AP58" s="1156"/>
      <c r="AQ58" s="1156"/>
      <c r="AR58" s="1156"/>
      <c r="AS58" s="1156">
        <v>11</v>
      </c>
    </row>
    <row customHeight="1" ht="28.5">
      <c r="O59" s="538"/>
      <c r="S59" s="1254"/>
      <c r="T59" s="2286"/>
      <c r="U59" s="2286"/>
      <c r="V59" s="2286"/>
      <c r="W59" s="2286"/>
      <c r="X59" s="2286"/>
      <c r="Y59" s="2286"/>
      <c r="Z59" s="2286"/>
      <c r="AA59" s="2286"/>
      <c r="AB59" s="2286"/>
      <c r="AC59" s="2286"/>
      <c r="AD59" s="2286"/>
      <c r="AE59" s="2286"/>
      <c r="AF59" s="2286"/>
      <c r="AG59" s="2286"/>
      <c r="AH59" s="2286"/>
      <c r="AI59" s="2286"/>
      <c r="AJ59" s="2286"/>
      <c r="AK59" s="2286"/>
      <c r="AL59" s="2286"/>
      <c r="AM59" s="2286"/>
      <c r="AS59" s="1156">
        <v>27</v>
      </c>
    </row>
    <row customHeight="1" ht="78.75">
      <c r="O60" s="538"/>
      <c r="T60" s="2286"/>
      <c r="U60" s="2286"/>
      <c r="V60" s="2286"/>
      <c r="W60" s="2286"/>
      <c r="X60" s="2286"/>
      <c r="Y60" s="2286"/>
      <c r="Z60" s="2286"/>
      <c r="AA60" s="2286"/>
      <c r="AB60" s="2286"/>
      <c r="AC60" s="2286"/>
      <c r="AD60" s="2286"/>
      <c r="AE60" s="2286"/>
      <c r="AF60" s="2286"/>
      <c r="AG60" s="2286"/>
      <c r="AH60" s="2286"/>
      <c r="AI60" s="2286"/>
      <c r="AJ60" s="2286"/>
      <c r="AK60" s="2286"/>
      <c r="AL60" s="2286"/>
      <c r="AM60" s="2286"/>
      <c r="AS60" s="1156">
        <v>75</v>
      </c>
    </row>
    <row customHeight="1" ht="14.699999999999998">
      <c r="O61" s="538"/>
      <c r="AS61" s="1156">
        <v>14</v>
      </c>
    </row>
    <row customHeight="1" ht="18.75">
      <c r="O62" s="538"/>
      <c r="S62" s="1254"/>
      <c r="T62" s="2286"/>
      <c r="U62" s="2286"/>
      <c r="V62" s="2286"/>
      <c r="W62" s="2286"/>
      <c r="X62" s="2286"/>
      <c r="Y62" s="2286"/>
      <c r="Z62" s="2286"/>
      <c r="AA62" s="2286"/>
      <c r="AB62" s="2286"/>
      <c r="AC62" s="2286"/>
      <c r="AD62" s="2286"/>
      <c r="AE62" s="2286"/>
      <c r="AF62" s="2286"/>
      <c r="AG62" s="2286"/>
      <c r="AH62" s="2286"/>
      <c r="AI62" s="2286"/>
      <c r="AJ62" s="2286"/>
      <c r="AK62" s="2286"/>
      <c r="AL62" s="2286"/>
      <c r="AM62" s="2286"/>
      <c r="AS62" s="1156">
        <v>18</v>
      </c>
    </row>
    <row customHeight="1" ht="18.75">
      <c r="O63" s="538"/>
      <c r="T63" s="2286"/>
      <c r="U63" s="2286"/>
      <c r="V63" s="2286"/>
      <c r="W63" s="2286"/>
      <c r="X63" s="2286"/>
      <c r="Y63" s="2286"/>
      <c r="Z63" s="2286"/>
      <c r="AA63" s="2286"/>
      <c r="AB63" s="2286"/>
      <c r="AC63" s="2286"/>
      <c r="AD63" s="2286"/>
      <c r="AE63" s="2286"/>
      <c r="AF63" s="2286"/>
      <c r="AG63" s="2286"/>
      <c r="AH63" s="2286"/>
      <c r="AI63" s="2286"/>
      <c r="AJ63" s="2286"/>
      <c r="AK63" s="2286"/>
      <c r="AL63" s="2286"/>
      <c r="AM63" s="2286"/>
      <c r="AS63" s="1156">
        <v>18</v>
      </c>
    </row>
    <row customHeight="1" ht="39.75">
      <c r="O64" s="538"/>
      <c r="S64" s="1254"/>
      <c r="T64" s="2286"/>
      <c r="U64" s="2286"/>
      <c r="V64" s="2286"/>
      <c r="W64" s="2286"/>
      <c r="X64" s="2286"/>
      <c r="Y64" s="2286"/>
      <c r="Z64" s="2286"/>
      <c r="AA64" s="2286"/>
      <c r="AB64" s="2286"/>
      <c r="AC64" s="2286"/>
      <c r="AD64" s="2286"/>
      <c r="AE64" s="2286"/>
      <c r="AF64" s="2286"/>
      <c r="AG64" s="2286"/>
      <c r="AH64" s="2286"/>
      <c r="AI64" s="2286"/>
      <c r="AJ64" s="2286"/>
      <c r="AK64" s="2286"/>
      <c r="AL64" s="2286"/>
      <c r="AM64" s="2286"/>
      <c r="AS64" s="1156">
        <v>38</v>
      </c>
    </row>
    <row customHeight="1" ht="22.5" hidden="1">
      <c r="A65" s="1161" t="s">
        <v>83</v>
      </c>
      <c r="B65" s="1161">
        <v>0</v>
      </c>
      <c r="C65" s="1161">
        <v>0</v>
      </c>
      <c r="D65" s="1161">
        <v>0</v>
      </c>
      <c r="E65" s="1161">
        <v>0</v>
      </c>
      <c r="F65" s="1161">
        <v>0</v>
      </c>
      <c r="G65" s="1161">
        <v>0</v>
      </c>
      <c r="H65" s="1161">
        <v>0</v>
      </c>
      <c r="I65" s="1161">
        <v>0</v>
      </c>
      <c r="J65" s="1161">
        <v>0</v>
      </c>
      <c r="K65" s="1161">
        <v>0</v>
      </c>
      <c r="L65" s="1330">
        <v>0</v>
      </c>
      <c r="M65" s="1363">
        <v>0</v>
      </c>
      <c r="N65" s="1363">
        <v>0</v>
      </c>
      <c r="O65" s="1363">
        <v>0</v>
      </c>
      <c r="P65" s="1329">
        <v>3</v>
      </c>
      <c r="Q65" s="345">
        <v>3</v>
      </c>
      <c r="R65" s="345">
        <v>3</v>
      </c>
      <c r="S65" s="582">
        <v>12</v>
      </c>
      <c r="T65" s="1156">
        <v>31</v>
      </c>
      <c r="U65" s="1156">
        <v>0</v>
      </c>
      <c r="V65" s="1156">
        <v>0</v>
      </c>
      <c r="W65" s="1156">
        <v>0</v>
      </c>
      <c r="X65" s="1156">
        <v>0</v>
      </c>
      <c r="Y65" s="1156">
        <v>0</v>
      </c>
      <c r="Z65" s="1156">
        <v>0</v>
      </c>
      <c r="AA65" s="1156">
        <v>0</v>
      </c>
      <c r="AB65" s="1156">
        <v>0</v>
      </c>
      <c r="AC65" s="1156">
        <v>0</v>
      </c>
      <c r="AD65" s="1156">
        <v>0</v>
      </c>
      <c r="AE65" s="1156">
        <v>24</v>
      </c>
      <c r="AF65" s="1156">
        <v>0</v>
      </c>
      <c r="AG65" s="1156">
        <v>0</v>
      </c>
      <c r="AH65" s="1156">
        <v>11</v>
      </c>
      <c r="AI65" s="1156">
        <v>3</v>
      </c>
      <c r="AJ65" s="1156">
        <v>11</v>
      </c>
      <c r="AK65" s="1156">
        <v>0</v>
      </c>
      <c r="AL65" s="1156">
        <v>4</v>
      </c>
      <c r="AM65" s="1156">
        <v>115</v>
      </c>
      <c r="AN65" s="512">
        <v>10</v>
      </c>
      <c r="AO65" s="512">
        <v>10</v>
      </c>
      <c r="AP65" s="512">
        <v>10</v>
      </c>
      <c r="AQ65" s="512">
        <v>10</v>
      </c>
      <c r="AR65" s="512">
        <v>10</v>
      </c>
      <c r="AS65" s="1156">
        <v>23</v>
      </c>
    </row>
  </sheetData>
  <sheetProtection formatColumns="0" formatRows="0" autoFilter="0" sort="0" insertRows="0" insertColumns="1" deleteRows="0" deleteColumns="0"/>
  <mergeCells count="110">
    <mergeCell ref="V2:AC2"/>
    <mergeCell ref="AD2:AL2"/>
    <mergeCell ref="V3:AC3"/>
    <mergeCell ref="AD3:AL3"/>
    <mergeCell ref="V4:AC4"/>
    <mergeCell ref="AD4:AL4"/>
    <mergeCell ref="T62:AM62"/>
    <mergeCell ref="T63:AM63"/>
    <mergeCell ref="T64:AM64"/>
    <mergeCell ref="S34:T34"/>
    <mergeCell ref="V34:AB34"/>
    <mergeCell ref="AD34:AJ34"/>
    <mergeCell ref="S35:T35"/>
    <mergeCell ref="V35:AB35"/>
    <mergeCell ref="AD35:AJ35"/>
    <mergeCell ref="AM49:AM51"/>
    <mergeCell ref="T59:AM59"/>
    <mergeCell ref="T60:AM60"/>
    <mergeCell ref="V47:AC47"/>
    <mergeCell ref="AD47:AL47"/>
    <mergeCell ref="AA42:AB42"/>
    <mergeCell ref="AI42:AJ42"/>
    <mergeCell ref="AD40:AD41"/>
    <mergeCell ref="AE40:AE41"/>
    <mergeCell ref="AI49:AI50"/>
    <mergeCell ref="AJ49:AJ50"/>
    <mergeCell ref="AK49:AK50"/>
    <mergeCell ref="V5:AC5"/>
    <mergeCell ref="AD5:AL5"/>
    <mergeCell ref="V6:AC6"/>
    <mergeCell ref="AD6:AL6"/>
    <mergeCell ref="V7:AC7"/>
    <mergeCell ref="AD7:AL7"/>
    <mergeCell ref="AH40:AJ40"/>
    <mergeCell ref="AA41:AB41"/>
    <mergeCell ref="AI41:AJ41"/>
    <mergeCell ref="AD32:AJ32"/>
    <mergeCell ref="V37:AC37"/>
    <mergeCell ref="AD37:AK37"/>
    <mergeCell ref="S38:AL38"/>
    <mergeCell ref="S32:T32"/>
    <mergeCell ref="V32:AB32"/>
    <mergeCell ref="AD29:AJ29"/>
    <mergeCell ref="S30:T30"/>
    <mergeCell ref="V30:AB30"/>
    <mergeCell ref="AD30:AJ30"/>
    <mergeCell ref="S31:T31"/>
    <mergeCell ref="V31:AB31"/>
    <mergeCell ref="E43:E56"/>
    <mergeCell ref="V43:AC43"/>
    <mergeCell ref="AD43:AL43"/>
    <mergeCell ref="F44:F55"/>
    <mergeCell ref="V44:AC44"/>
    <mergeCell ref="AD44:AL44"/>
    <mergeCell ref="G45:G54"/>
    <mergeCell ref="V45:AC45"/>
    <mergeCell ref="AD45:AL45"/>
    <mergeCell ref="H46:H53"/>
    <mergeCell ref="V46:AC46"/>
    <mergeCell ref="AD46:AL46"/>
    <mergeCell ref="I47:I52"/>
    <mergeCell ref="P47:P52"/>
    <mergeCell ref="J48:J51"/>
    <mergeCell ref="Q48:Q51"/>
    <mergeCell ref="V48:AC48"/>
    <mergeCell ref="AD48:AL48"/>
    <mergeCell ref="K49:K50"/>
    <mergeCell ref="Z49:Z50"/>
    <mergeCell ref="AA49:AA50"/>
    <mergeCell ref="AB49:AB50"/>
    <mergeCell ref="AC49:AC50"/>
    <mergeCell ref="AH49:AH50"/>
    <mergeCell ref="AM38:AM41"/>
    <mergeCell ref="S39:S41"/>
    <mergeCell ref="T39:T41"/>
    <mergeCell ref="V39:AB39"/>
    <mergeCell ref="AC39:AC41"/>
    <mergeCell ref="AD39:AJ39"/>
    <mergeCell ref="AK39:AK41"/>
    <mergeCell ref="AL39:AL41"/>
    <mergeCell ref="V40:V41"/>
    <mergeCell ref="W40:W41"/>
    <mergeCell ref="Z40:AB40"/>
    <mergeCell ref="AD31:AJ31"/>
    <mergeCell ref="AJ8:AJ9"/>
    <mergeCell ref="AK8:AK9"/>
    <mergeCell ref="Z8:Z9"/>
    <mergeCell ref="S26:AJ26"/>
    <mergeCell ref="S27:AJ27"/>
    <mergeCell ref="S29:T29"/>
    <mergeCell ref="V29:AB29"/>
    <mergeCell ref="AM8:AM10"/>
    <mergeCell ref="AH17:AH18"/>
    <mergeCell ref="AI17:AI18"/>
    <mergeCell ref="AJ17:AJ18"/>
    <mergeCell ref="AK17:AK18"/>
    <mergeCell ref="AA8:AA9"/>
    <mergeCell ref="AB8:AB9"/>
    <mergeCell ref="AC8:AC9"/>
    <mergeCell ref="AH8:AH9"/>
    <mergeCell ref="AI8:AI9"/>
    <mergeCell ref="E2:E15"/>
    <mergeCell ref="F3:F14"/>
    <mergeCell ref="G4:G13"/>
    <mergeCell ref="H5:H12"/>
    <mergeCell ref="I6:I11"/>
    <mergeCell ref="P6:P11"/>
    <mergeCell ref="J7:J10"/>
    <mergeCell ref="Q7:Q10"/>
    <mergeCell ref="K8:K9"/>
  </mergeCells>
  <dataValidations count="8">
    <dataValidation allowBlank="1" sqref="S131123:AM131129 S196659:AM196665 S262195:AM262201 S327731:AM327737 S393267:AM393273 S458803:AM458809 S524339:AM524345 S589875:AM589881 S655411:AM655417 S720947:AM720953 S786483:AM786489 S852019:AM852025 S917555:AM917561 S983091:AM983097 S65587:AM65593"/>
    <dataValidation type="list" allowBlank="1" showInputMessage="1" errorTitle="Ошибка" error="Выберите значение из списка" prompt="Выберите значение из списка" sqref="V983088:AL983088 V65584:AL65584 V131120:AL131120 V196656:AL196656 V262192:AL262192 V327728:AL327728 V393264:AL393264 V458800:AL458800 V524336:AL524336 V589872:AL589872 V655408:AL655408 V720944:AL720944 V786480:AL786480 V852016:AL852016 V917552:AL917552">
      <formula1>kind_of_cons</formula1>
    </dataValidation>
    <dataValidation type="list" allowBlank="1" showInputMessage="1" showErrorMessage="1" errorTitle="Ошибка" error="Выберите значение из списка" sqref="T65585 T131121 T196657 T262193 T327729 T393265 T458801 T524337 T589873 T655409 T720945 T786481 T852017 T917553 T983089">
      <formula1>kind_of_heat_transfer</formula1>
    </dataValidation>
    <dataValidation type="list" allowBlank="1" showInputMessage="1" showErrorMessage="1" errorTitle="Ошибка" error="Выберите значение из списка" sqref="V983087:W983087 V65583:W65583 V131119:W131119 V196655:W196655 V262191:W262191 V327727:W327727 V393263:W393263 V458799:W458799 V524335:W524335 V589871:W589871 V655407:W655407 V720943:W720943 V786479:W786479 V852015:W852015 V917551:W917551 AD983087:AE983087 AD65583:AE65583 AD131119:AE131119 AD196655:AE196655 AD262191:AE262191 AD327727:AE327727 AD393263:AE393263 AD458799:AE458799 AD524335:AE524335 AD589871:AE589871 AD655407:AE655407 AD720943:AE720943 AD786479:AE786479 AD852015:AE852015 AD917551:AE917551">
      <formula1>kind_of_scheme_in</formula1>
    </dataValidation>
    <dataValidation type="textLength" operator="lessThanOrEqual" allowBlank="1" showInputMessage="1" showErrorMessage="1" errorTitle="Ошибка" error="Допускается ввод не более 900 символов!" sqref="AM65579:AM65586 AM131115:AM131122 AM196651:AM196658 AM262187:AM262194 AM327723:AM327730 AM393259:AM393266 AM458795:AM458802 AM524331:AM524338 AM589867:AM589874 AM655403:AM655410 AM720939:AM720946 AM786475:AM786482 AM852011:AM852018 AM917547:AM917554 AM983083:AM983090">
      <formula1>900</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5 Z131121 Z196657 Z262193 Z327729 Z393265 Z458801 Z524337 Z589873 Z655409 Z720945 Z786481 Z852017 Z917553 Z983089 AB65585 AB131121 AB196657 AB262193 AB327729 AB393265 AB458801 AB524337 AB589873 AB655409 AB720945 AB786481 AB852017 AB917553 AB983089 Z8 AH65585 AH131121 AH196657 AH262193 AH327729 AH393265 AH458801 AH524337 AH589873 AH655409 AH720945 AH786481 AH852017 AH917553 AH983089 AJ65585 AJ131121 AJ196657 AJ262193 AJ327729 AJ393265 AJ458801 AJ524337 AJ589873 AJ655409 AJ720945 AJ786481 AJ852017 AJ917553 AJ983089 AJ49 AH49 AH8 AJ8 AB8 AH17 AJ17 Z49 AB49"/>
    <dataValidation allowBlank="1" showInputMessage="1" showErrorMessage="1" prompt="Для выбора выполните двойной щелчок левой клавиши мыши по соответствующей ячейке." sqref="AA65585 AA131121 AA196657 AA262193 AA327729 AA393265 AA458801 AA524337 AA589873 AA655409 AA720945 AA786481 AA852017 AA917553 AA983089 AC131121 AC458801 AC196657 AC262193 AC327729 AC393265 AC524337 AC589873 AC655409 AC720945 AC786481 AC852017 AC917553 AC983089 AC65585 AI65585 AI131121 AI196657 AI262193 AI327729 AI393265 AI458801 AI524337 AI589873 AI655409 AI720945 AI786481 AI852017 AI917553 AI983089 AK524337 AK8 AK589873 AK655409 AK17 AK720945 AK786481 AK852017 AK917553 AK983089 AK65585 AK131121 AK458801 AK196657 AK262193 AI49 AI8 AC8 AA8 AI17 AK327729 AK393265 AA49 AC49 AK49"/>
    <dataValidation allowBlank="1" promptTitle="checkPeriodRange" sqref="Y65586 Y131122 Y196658 Y262194 Y327730 Y393266 Y458802 Y524338 Y589874 Y655410 Y720946 Y786482 Y852018 Y917554 Y983090 Y9 AG65586 AG131122 AG196658 AG262194 AG327730 AG393266 AG458802 AG524338 AG589874 AG655410 AG720946 AG786482 AG852018 AG917554 AG983090 AG9 AG50 AG18 Y50"/>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3D882808-A138-B988-B4D8-9590EEB59BB8}" mc:Ignorable="x14ac xr xr2 xr3">
  <sheetPr>
    <tabColor theme="6" tint="0.4"/>
  </sheetPr>
  <dimension ref="A1:AS66"/>
  <sheetViews>
    <sheetView showGridLines="0" zoomScale="90" workbookViewId="0">
      <pane xSplit="29" ySplit="42" topLeftCell="AD43" activePane="bottomRight" state="frozen"/>
      <selection pane="bottomLeft" activeCell="A43" sqref="A43"/>
      <selection pane="topRight" activeCell="AD1" sqref="AD1"/>
      <selection pane="bottomRight" activeCell="A1" sqref="A1"/>
    </sheetView>
  </sheetViews>
  <sheetFormatPr defaultColWidth="10.57421875" customHeight="1" defaultRowHeight="14.25"/>
  <cols>
    <col min="1" max="1" style="1367" width="10.57421875" hidden="1"/>
    <col min="2" max="2" style="1367" width="11.00390625" hidden="1" customWidth="1"/>
    <col min="3" max="3" style="1367" width="10.57421875" hidden="1"/>
    <col min="4" max="4" style="1367" width="11.8515625" hidden="1" customWidth="1"/>
    <col min="5" max="5" style="1367" width="10.00390625" hidden="1" customWidth="1"/>
    <col min="6" max="6" style="1367" width="8.7109375" hidden="1" customWidth="1"/>
    <col min="7" max="7" style="1367" width="7.57421875" hidden="1" customWidth="1"/>
    <col min="8" max="8" style="1367" width="11.421875" hidden="1" customWidth="1"/>
    <col min="9" max="9" style="1367" width="12.00390625" hidden="1" customWidth="1"/>
    <col min="10" max="10" style="1367" width="9.8515625" hidden="1" customWidth="1"/>
    <col min="11" max="11" style="1367" width="11.421875" hidden="1" customWidth="1"/>
    <col min="12" max="12" style="2608" width="19.140625" hidden="1" customWidth="1"/>
    <col min="13" max="14" style="1777" width="12.28125" hidden="1" customWidth="1"/>
    <col min="15" max="15" style="1777" width="23.421875" hidden="1" customWidth="1"/>
    <col min="16" max="16" style="2398" width="3.7109375" hidden="1" customWidth="1"/>
    <col min="17" max="18" style="345" width="3.00390625" customWidth="1"/>
    <col min="19" max="19" style="2408" width="12.00390625" customWidth="1"/>
    <col min="20" max="20" style="1636" width="31.00390625" customWidth="1"/>
    <col min="21" max="21" style="1636" width="0.140625" customWidth="1"/>
    <col min="22" max="22" style="1636" width="24.7109375" hidden="1" customWidth="1"/>
    <col min="23" max="23" style="1636" width="0.140625" hidden="1" customWidth="1"/>
    <col min="24" max="25" style="1636" width="24.7109375" hidden="1" customWidth="1"/>
    <col min="26" max="26" style="1636" width="11.7109375" hidden="1" customWidth="1"/>
    <col min="27" max="27" style="1636" width="3.7109375" hidden="1" customWidth="1"/>
    <col min="28" max="28" style="1636" width="11.7109375" hidden="1" customWidth="1"/>
    <col min="29" max="29" style="1636" width="8.57421875" hidden="1" customWidth="1"/>
    <col min="30" max="30" style="1636" width="24.7109375" customWidth="1"/>
    <col min="31" max="31" style="1636" width="0.140625" customWidth="1"/>
    <col min="32" max="33" style="1636" width="24.00390625" customWidth="1"/>
    <col min="34" max="34" style="1636" width="11.00390625" customWidth="1"/>
    <col min="35" max="35" style="1636" width="3.7109375" customWidth="1"/>
    <col min="36" max="36" style="1636" width="11.00390625" customWidth="1"/>
    <col min="37" max="37" style="1636" width="8.57421875" hidden="1" customWidth="1"/>
    <col min="38" max="38" style="1636" width="4.00390625" customWidth="1"/>
    <col min="39" max="39" style="1636" width="115.00390625" customWidth="1"/>
    <col min="40" max="44" style="1643" width="10.00390625" customWidth="1"/>
    <col min="45" max="45" style="1636" width="8.421875" hidden="1" customWidth="1"/>
  </cols>
  <sheetData>
    <row customHeight="1" ht="22.5" hidden="1">
      <c r="Y1" s="328"/>
      <c r="Z1" s="328"/>
      <c r="AG1" s="328"/>
      <c r="AH1" s="328"/>
      <c r="AS1" s="1156" t="s">
        <v>14</v>
      </c>
    </row>
    <row customHeight="1" ht="21" hidden="1">
      <c r="A2" s="1364"/>
      <c r="B2" s="1364"/>
      <c r="C2" s="1364"/>
      <c r="D2" s="1364"/>
      <c r="E2" s="2259">
        <v>1</v>
      </c>
      <c r="F2" s="1364"/>
      <c r="G2" s="1364"/>
      <c r="H2" s="1364"/>
      <c r="I2" s="1364"/>
      <c r="J2" s="1364"/>
      <c r="K2" s="1364"/>
      <c r="L2" s="1365"/>
      <c r="M2" s="1366"/>
      <c r="N2" s="1366"/>
      <c r="O2" s="1366"/>
      <c r="P2" s="362"/>
      <c r="Q2" s="361"/>
      <c r="R2" s="356"/>
      <c r="S2" s="1337">
        <f>INDEX(PT_DIFFERENTIATION_NUM_NTAR,MATCH(A2,PT_DIFFERENTIATION_NTAR_ID,0))</f>
      </c>
      <c r="T2" s="299" t="s">
        <v>131</v>
      </c>
      <c r="U2" s="301"/>
      <c r="V2" s="2243"/>
      <c r="W2" s="2244"/>
      <c r="X2" s="2244"/>
      <c r="Y2" s="2244"/>
      <c r="Z2" s="2244"/>
      <c r="AA2" s="2244"/>
      <c r="AB2" s="2244"/>
      <c r="AC2" s="2245"/>
      <c r="AD2" s="2243">
        <f>INDEX(PT_DIFFERENTIATION_NTAR,MATCH(A2,PT_DIFFERENTIATION_NTAR_ID,0))</f>
      </c>
      <c r="AE2" s="2244"/>
      <c r="AF2" s="2244"/>
      <c r="AG2" s="2244"/>
      <c r="AH2" s="2244"/>
      <c r="AI2" s="2244"/>
      <c r="AJ2" s="2244"/>
      <c r="AK2" s="2244"/>
      <c r="AL2" s="2245"/>
      <c r="AM2" s="1259" t="s">
        <v>413</v>
      </c>
      <c r="AO2" s="501"/>
      <c r="AP2" s="501" t="str">
        <f>IF(T2="","",T2)</f>
        <v>Наименование тарифа</v>
      </c>
      <c r="AQ2" s="501"/>
      <c r="AR2" s="501"/>
      <c r="AS2" s="1156">
        <v>0</v>
      </c>
    </row>
    <row customHeight="1" ht="21" hidden="1">
      <c r="A3" s="1364"/>
      <c r="B3" s="1364"/>
      <c r="C3" s="1364"/>
      <c r="D3" s="1364"/>
      <c r="E3" s="2260"/>
      <c r="F3" s="2259">
        <v>1</v>
      </c>
      <c r="G3" s="1364"/>
      <c r="H3" s="1364"/>
      <c r="I3" s="1364"/>
      <c r="J3" s="1364"/>
      <c r="K3" s="1364"/>
      <c r="L3" s="1365"/>
      <c r="M3" s="1366"/>
      <c r="N3" s="1366"/>
      <c r="O3" s="1366"/>
      <c r="P3" s="1333"/>
      <c r="Q3" s="353"/>
      <c r="R3" s="354"/>
      <c r="S3" s="1337">
        <f>INDEX(PT_DIFFERENTIATION_NUM_TER,MATCH(B3,PT_DIFFERENTIATION_TER_ID,0))</f>
      </c>
      <c r="T3" s="309" t="s">
        <v>414</v>
      </c>
      <c r="U3" s="301"/>
      <c r="V3" s="2243"/>
      <c r="W3" s="2244"/>
      <c r="X3" s="2244"/>
      <c r="Y3" s="2244"/>
      <c r="Z3" s="2244"/>
      <c r="AA3" s="2244"/>
      <c r="AB3" s="2244"/>
      <c r="AC3" s="2245"/>
      <c r="AD3" s="2243">
        <f>INDEX(PT_DIFFERENTIATION_TER,MATCH(B3,PT_DIFFERENTIATION_TER_ID,0))</f>
      </c>
      <c r="AE3" s="2244"/>
      <c r="AF3" s="2244"/>
      <c r="AG3" s="2244"/>
      <c r="AH3" s="2244"/>
      <c r="AI3" s="2244"/>
      <c r="AJ3" s="2244"/>
      <c r="AK3" s="2244"/>
      <c r="AL3" s="2245"/>
      <c r="AM3" s="1259" t="s">
        <v>415</v>
      </c>
      <c r="AO3" s="501"/>
      <c r="AP3" s="501" t="str">
        <f>IF(T3="","",T3)</f>
        <v>Территория действия тарифа</v>
      </c>
      <c r="AQ3" s="501"/>
      <c r="AR3" s="501"/>
      <c r="AS3" s="1156">
        <v>0</v>
      </c>
    </row>
    <row customHeight="1" ht="23.25" hidden="1">
      <c r="A4" s="1364"/>
      <c r="B4" s="1364"/>
      <c r="C4" s="1364"/>
      <c r="D4" s="1364"/>
      <c r="E4" s="2260"/>
      <c r="F4" s="2260"/>
      <c r="G4" s="2259">
        <v>1</v>
      </c>
      <c r="H4" s="1364"/>
      <c r="I4" s="1364"/>
      <c r="J4" s="1364"/>
      <c r="K4" s="1364"/>
      <c r="L4" s="1365"/>
      <c r="M4" s="1366"/>
      <c r="N4" s="1366"/>
      <c r="O4" s="1366"/>
      <c r="P4" s="355"/>
      <c r="Q4" s="353"/>
      <c r="R4" s="354"/>
      <c r="S4" s="1337">
        <f>INDEX(PT_DIFFERENTIATION_NUM_CS,MATCH(C4,PT_DIFFERENTIATION_CS_ID,0))</f>
      </c>
      <c r="T4" s="310" t="s">
        <v>416</v>
      </c>
      <c r="U4" s="301"/>
      <c r="V4" s="2243"/>
      <c r="W4" s="2244"/>
      <c r="X4" s="2244"/>
      <c r="Y4" s="2244"/>
      <c r="Z4" s="2244"/>
      <c r="AA4" s="2244"/>
      <c r="AB4" s="2244"/>
      <c r="AC4" s="2245"/>
      <c r="AD4" s="2243">
        <f>INDEX(PT_DIFFERENTIATION_CS,MATCH(C4,PT_DIFFERENTIATION_CS_ID,0))</f>
      </c>
      <c r="AE4" s="2244"/>
      <c r="AF4" s="2244"/>
      <c r="AG4" s="2244"/>
      <c r="AH4" s="2244"/>
      <c r="AI4" s="2244"/>
      <c r="AJ4" s="2244"/>
      <c r="AK4" s="2244"/>
      <c r="AL4" s="2245"/>
      <c r="AM4" s="1259" t="s">
        <v>417</v>
      </c>
      <c r="AO4" s="501"/>
      <c r="AP4" s="501" t="str">
        <f>IF(T4="","",T4)</f>
        <v>Наименование системы теплоснабжения </v>
      </c>
      <c r="AQ4" s="501"/>
      <c r="AR4" s="501"/>
      <c r="AS4" s="1156">
        <v>0</v>
      </c>
    </row>
    <row customHeight="1" ht="21" hidden="1">
      <c r="A5" s="1364"/>
      <c r="B5" s="1364"/>
      <c r="C5" s="1364"/>
      <c r="D5" s="1364"/>
      <c r="E5" s="2260"/>
      <c r="F5" s="2260"/>
      <c r="G5" s="2260"/>
      <c r="H5" s="2259">
        <v>1</v>
      </c>
      <c r="I5" s="1364"/>
      <c r="J5" s="1364"/>
      <c r="K5" s="1364"/>
      <c r="L5" s="1365"/>
      <c r="M5" s="1366"/>
      <c r="N5" s="1366"/>
      <c r="O5" s="1366"/>
      <c r="P5" s="355"/>
      <c r="Q5" s="353"/>
      <c r="R5" s="354"/>
      <c r="S5" s="1337">
        <f>INDEX(PT_DIFFERENTIATION_NUM_IST_TE,MATCH(D5,PT_DIFFERENTIATION_IST_TE_ID,0))</f>
      </c>
      <c r="T5" s="311" t="s">
        <v>418</v>
      </c>
      <c r="U5" s="301"/>
      <c r="V5" s="2243"/>
      <c r="W5" s="2244"/>
      <c r="X5" s="2244"/>
      <c r="Y5" s="2244"/>
      <c r="Z5" s="2244"/>
      <c r="AA5" s="2244"/>
      <c r="AB5" s="2244"/>
      <c r="AC5" s="2245"/>
      <c r="AD5" s="2243">
        <f>INDEX(PT_DIFFERENTIATION_IST_TE,MATCH(D5,PT_DIFFERENTIATION_IST_TE_ID,0))</f>
      </c>
      <c r="AE5" s="2244"/>
      <c r="AF5" s="2244"/>
      <c r="AG5" s="2244"/>
      <c r="AH5" s="2244"/>
      <c r="AI5" s="2244"/>
      <c r="AJ5" s="2244"/>
      <c r="AK5" s="2244"/>
      <c r="AL5" s="2245"/>
      <c r="AM5" s="1259" t="s">
        <v>419</v>
      </c>
      <c r="AO5" s="501"/>
      <c r="AP5" s="501" t="str">
        <f>IF(T5="","",T5)</f>
        <v>Источник тепловой энергии  </v>
      </c>
      <c r="AQ5" s="501"/>
      <c r="AR5" s="501"/>
      <c r="AS5" s="1156">
        <v>0</v>
      </c>
    </row>
    <row customHeight="1" ht="14.25" hidden="1">
      <c r="A6" s="1364"/>
      <c r="B6" s="1364"/>
      <c r="C6" s="1364"/>
      <c r="D6" s="1364"/>
      <c r="E6" s="2260"/>
      <c r="F6" s="2260"/>
      <c r="G6" s="2260"/>
      <c r="H6" s="2260"/>
      <c r="I6" s="2257">
        <f>S5&amp;".1"</f>
      </c>
      <c r="J6" s="1364"/>
      <c r="K6" s="1364"/>
      <c r="L6" s="1365" t="s">
        <v>420</v>
      </c>
      <c r="M6" s="538"/>
      <c r="P6" s="2258">
        <v>1</v>
      </c>
      <c r="Q6" s="1332"/>
      <c r="R6" s="357"/>
      <c r="S6" s="1043"/>
      <c r="T6" s="1384"/>
      <c r="U6" s="1385"/>
      <c r="V6" s="2297"/>
      <c r="W6" s="2298"/>
      <c r="X6" s="2298"/>
      <c r="Y6" s="2298"/>
      <c r="Z6" s="2298"/>
      <c r="AA6" s="2298"/>
      <c r="AB6" s="2298"/>
      <c r="AC6" s="2299"/>
      <c r="AD6" s="2297"/>
      <c r="AE6" s="2298"/>
      <c r="AF6" s="2298"/>
      <c r="AG6" s="2298"/>
      <c r="AH6" s="2298"/>
      <c r="AI6" s="2298"/>
      <c r="AJ6" s="2298"/>
      <c r="AK6" s="2298"/>
      <c r="AL6" s="2299"/>
      <c r="AM6" s="1386"/>
      <c r="AO6" s="501"/>
      <c r="AP6" s="501" t="str">
        <f>IF(T6="","",T6)</f>
        <v/>
      </c>
      <c r="AQ6" s="501"/>
      <c r="AR6" s="501"/>
      <c r="AS6" s="1156">
        <v>0</v>
      </c>
    </row>
    <row customHeight="1" ht="21" hidden="1">
      <c r="A7" s="1364"/>
      <c r="B7" s="1364"/>
      <c r="C7" s="1364"/>
      <c r="D7" s="1364"/>
      <c r="E7" s="2260"/>
      <c r="F7" s="2260"/>
      <c r="G7" s="2260"/>
      <c r="H7" s="2260"/>
      <c r="I7" s="2287"/>
      <c r="J7" s="2257">
        <f>I6&amp;".1"</f>
      </c>
      <c r="K7" s="1364"/>
      <c r="L7" s="1365" t="s">
        <v>423</v>
      </c>
      <c r="M7" s="538"/>
      <c r="N7" s="1367"/>
      <c r="P7" s="2258"/>
      <c r="Q7" s="2258">
        <v>1</v>
      </c>
      <c r="R7" s="358"/>
      <c r="S7" s="1337">
        <f>$J7</f>
      </c>
      <c r="T7" s="287" t="s">
        <v>424</v>
      </c>
      <c r="U7" s="301"/>
      <c r="V7" s="2246"/>
      <c r="W7" s="2247"/>
      <c r="X7" s="2247"/>
      <c r="Y7" s="2247"/>
      <c r="Z7" s="2247"/>
      <c r="AA7" s="2247"/>
      <c r="AB7" s="2247"/>
      <c r="AC7" s="2248"/>
      <c r="AD7" s="2246"/>
      <c r="AE7" s="2247"/>
      <c r="AF7" s="2247"/>
      <c r="AG7" s="2247"/>
      <c r="AH7" s="2247"/>
      <c r="AI7" s="2247"/>
      <c r="AJ7" s="2247"/>
      <c r="AK7" s="2247"/>
      <c r="AL7" s="2248"/>
      <c r="AM7" s="1259" t="s">
        <v>425</v>
      </c>
      <c r="AO7" s="501"/>
      <c r="AP7" s="501" t="str">
        <f>IF(T7="","",T7)</f>
        <v>Группа потребителей</v>
      </c>
      <c r="AQ7" s="501"/>
      <c r="AR7" s="501"/>
      <c r="AS7" s="1156">
        <v>0</v>
      </c>
    </row>
    <row customHeight="1" ht="21" hidden="1">
      <c r="A8" s="1364"/>
      <c r="B8" s="1364"/>
      <c r="C8" s="1364"/>
      <c r="D8" s="1364"/>
      <c r="E8" s="2260"/>
      <c r="F8" s="2260"/>
      <c r="G8" s="2260"/>
      <c r="H8" s="2260"/>
      <c r="I8" s="2287"/>
      <c r="J8" s="2287"/>
      <c r="K8" s="2257">
        <f>J7&amp;".1"</f>
      </c>
      <c r="L8" s="1365" t="s">
        <v>426</v>
      </c>
      <c r="M8" s="538"/>
      <c r="N8" s="1367"/>
      <c r="O8" s="1367"/>
      <c r="P8" s="2258"/>
      <c r="Q8" s="2258"/>
      <c r="R8" s="358">
        <v>1</v>
      </c>
      <c r="S8" s="1337">
        <f>$K8</f>
      </c>
      <c r="T8" s="1348"/>
      <c r="U8" s="301"/>
      <c r="V8" s="752"/>
      <c r="W8" s="326"/>
      <c r="X8" s="752"/>
      <c r="Y8" s="1258"/>
      <c r="Z8" s="2266"/>
      <c r="AA8" s="2108" t="s">
        <v>61</v>
      </c>
      <c r="AB8" s="2266"/>
      <c r="AC8" s="2108" t="s">
        <v>61</v>
      </c>
      <c r="AD8" s="752"/>
      <c r="AE8" s="326"/>
      <c r="AF8" s="752"/>
      <c r="AG8" s="1258"/>
      <c r="AH8" s="2266"/>
      <c r="AI8" s="2108" t="s">
        <v>61</v>
      </c>
      <c r="AJ8" s="2266"/>
      <c r="AK8" s="2108" t="s">
        <v>61</v>
      </c>
      <c r="AL8" s="326"/>
      <c r="AM8" s="2254" t="s">
        <v>427</v>
      </c>
      <c r="AN8" s="512">
        <f>STRCHECKDATE(V9:AL9)</f>
      </c>
      <c r="AO8" s="501"/>
      <c r="AP8" s="501" t="str">
        <f>IF(T8="","",T8)</f>
        <v/>
      </c>
      <c r="AQ8" s="501"/>
      <c r="AR8" s="501"/>
      <c r="AS8" s="1156">
        <v>0</v>
      </c>
    </row>
    <row customHeight="1" ht="0.75" hidden="1">
      <c r="A9" s="1364"/>
      <c r="B9" s="1364"/>
      <c r="C9" s="1364"/>
      <c r="D9" s="1364"/>
      <c r="E9" s="2260"/>
      <c r="F9" s="2260"/>
      <c r="G9" s="2260"/>
      <c r="H9" s="2260"/>
      <c r="I9" s="2287"/>
      <c r="J9" s="2287"/>
      <c r="K9" s="2257"/>
      <c r="L9" s="1365"/>
      <c r="M9" s="538"/>
      <c r="N9" s="1367"/>
      <c r="O9" s="1367"/>
      <c r="P9" s="2258"/>
      <c r="Q9" s="2258"/>
      <c r="R9" s="358"/>
      <c r="S9" s="1343"/>
      <c r="T9" s="301"/>
      <c r="U9" s="301"/>
      <c r="V9" s="326"/>
      <c r="W9" s="326"/>
      <c r="X9" s="326"/>
      <c r="Y9" s="329" t="str">
        <f>Z8&amp;"-"&amp;AB8</f>
        <v>-</v>
      </c>
      <c r="Z9" s="2267"/>
      <c r="AA9" s="2108"/>
      <c r="AB9" s="2267"/>
      <c r="AC9" s="2108"/>
      <c r="AD9" s="326"/>
      <c r="AE9" s="326"/>
      <c r="AF9" s="326"/>
      <c r="AG9" s="329" t="str">
        <f>AH8&amp;"-"&amp;AJ8</f>
        <v>-</v>
      </c>
      <c r="AH9" s="2267"/>
      <c r="AI9" s="2108"/>
      <c r="AJ9" s="2267"/>
      <c r="AK9" s="2108"/>
      <c r="AL9" s="326"/>
      <c r="AM9" s="2255"/>
      <c r="AO9" s="501"/>
      <c r="AP9" s="501" t="str">
        <f>IF(T9="","",T9)</f>
        <v/>
      </c>
      <c r="AQ9" s="501"/>
      <c r="AR9" s="501"/>
      <c r="AS9" s="1156">
        <v>0</v>
      </c>
    </row>
    <row customHeight="1" ht="15" hidden="1">
      <c r="A10" s="1364"/>
      <c r="B10" s="1364"/>
      <c r="C10" s="1364"/>
      <c r="D10" s="1364"/>
      <c r="E10" s="2260"/>
      <c r="F10" s="2260"/>
      <c r="G10" s="2260"/>
      <c r="H10" s="2260"/>
      <c r="I10" s="2287"/>
      <c r="J10" s="2257"/>
      <c r="K10" s="1364"/>
      <c r="L10" s="1365"/>
      <c r="M10" s="538"/>
      <c r="N10" s="1367"/>
      <c r="P10" s="2258"/>
      <c r="Q10" s="2258"/>
      <c r="R10" s="357"/>
      <c r="S10" s="1279"/>
      <c r="T10" s="288" t="s">
        <v>428</v>
      </c>
      <c r="U10" s="368"/>
      <c r="V10" s="368"/>
      <c r="W10" s="368"/>
      <c r="X10" s="368"/>
      <c r="Y10" s="368"/>
      <c r="Z10" s="368"/>
      <c r="AA10" s="368"/>
      <c r="AB10" s="368"/>
      <c r="AC10" s="368"/>
      <c r="AD10" s="368"/>
      <c r="AE10" s="368"/>
      <c r="AF10" s="368"/>
      <c r="AG10" s="368"/>
      <c r="AH10" s="368"/>
      <c r="AI10" s="368"/>
      <c r="AJ10" s="368"/>
      <c r="AK10" s="368"/>
      <c r="AL10" s="325"/>
      <c r="AM10" s="2256"/>
      <c r="AO10" s="501"/>
      <c r="AP10" s="501" t="str">
        <f>IF(T10="","",T10)</f>
        <v>Добавить вид теплоносителя (параметры теплоносителя)</v>
      </c>
      <c r="AQ10" s="501"/>
      <c r="AR10" s="501"/>
      <c r="AS10" s="1156">
        <v>0</v>
      </c>
    </row>
    <row customHeight="1" ht="15" hidden="1">
      <c r="A11" s="1364"/>
      <c r="B11" s="1364"/>
      <c r="C11" s="1364"/>
      <c r="D11" s="1364"/>
      <c r="E11" s="2260"/>
      <c r="F11" s="2260"/>
      <c r="G11" s="2260"/>
      <c r="H11" s="2260"/>
      <c r="I11" s="2257"/>
      <c r="J11" s="1364"/>
      <c r="K11" s="1364"/>
      <c r="L11" s="1365"/>
      <c r="M11" s="538"/>
      <c r="P11" s="2258"/>
      <c r="Q11" s="1332"/>
      <c r="R11" s="357"/>
      <c r="S11" s="1279"/>
      <c r="T11" s="366" t="s">
        <v>429</v>
      </c>
      <c r="U11" s="368"/>
      <c r="V11" s="368"/>
      <c r="W11" s="368"/>
      <c r="X11" s="368"/>
      <c r="Y11" s="368"/>
      <c r="Z11" s="368"/>
      <c r="AA11" s="368"/>
      <c r="AB11" s="368"/>
      <c r="AC11" s="367"/>
      <c r="AD11" s="368"/>
      <c r="AE11" s="368"/>
      <c r="AF11" s="368"/>
      <c r="AG11" s="368"/>
      <c r="AH11" s="368"/>
      <c r="AI11" s="368"/>
      <c r="AJ11" s="368"/>
      <c r="AK11" s="367"/>
      <c r="AL11" s="368"/>
      <c r="AM11" s="304"/>
      <c r="AO11" s="501"/>
      <c r="AP11" s="501" t="str">
        <f>IF(T11="","",T11)</f>
        <v>Добавить группу потребителей</v>
      </c>
      <c r="AQ11" s="501"/>
      <c r="AR11" s="501"/>
      <c r="AS11" s="1156">
        <v>0</v>
      </c>
    </row>
    <row customHeight="1" ht="14.25" hidden="1">
      <c r="A12" s="1364"/>
      <c r="B12" s="1364"/>
      <c r="C12" s="1364"/>
      <c r="D12" s="1364"/>
      <c r="E12" s="2260"/>
      <c r="F12" s="2260"/>
      <c r="G12" s="2260"/>
      <c r="H12" s="2259"/>
      <c r="I12" s="1364"/>
      <c r="J12" s="1364"/>
      <c r="K12" s="1364"/>
      <c r="L12" s="1365"/>
      <c r="M12" s="1366"/>
      <c r="N12" s="1366"/>
      <c r="O12" s="538"/>
      <c r="P12" s="361"/>
      <c r="Q12" s="376"/>
      <c r="R12" s="356"/>
      <c r="S12" s="1387"/>
      <c r="T12" s="1388"/>
      <c r="U12" s="1389"/>
      <c r="V12" s="1389"/>
      <c r="W12" s="1389"/>
      <c r="X12" s="1389"/>
      <c r="Y12" s="1389"/>
      <c r="Z12" s="1389"/>
      <c r="AA12" s="1389"/>
      <c r="AB12" s="1389"/>
      <c r="AC12" s="1389"/>
      <c r="AD12" s="1389"/>
      <c r="AE12" s="1389"/>
      <c r="AF12" s="1389"/>
      <c r="AG12" s="1389"/>
      <c r="AH12" s="1389"/>
      <c r="AI12" s="1389"/>
      <c r="AJ12" s="1389"/>
      <c r="AK12" s="1389"/>
      <c r="AL12" s="1389"/>
      <c r="AM12" s="1390"/>
      <c r="AO12" s="501"/>
      <c r="AP12" s="501" t="str">
        <f>IF(T12="","",T12)</f>
        <v/>
      </c>
      <c r="AQ12" s="501"/>
      <c r="AR12" s="501"/>
      <c r="AS12" s="1156">
        <v>0</v>
      </c>
    </row>
    <row s="1643" customFormat="1" customHeight="1" ht="0.75" hidden="1">
      <c r="A13" s="1315"/>
      <c r="B13" s="1315"/>
      <c r="C13" s="1315"/>
      <c r="D13" s="1315"/>
      <c r="E13" s="2260"/>
      <c r="F13" s="2260"/>
      <c r="G13" s="2259"/>
      <c r="H13" s="1315"/>
      <c r="I13" s="1315"/>
      <c r="J13" s="1315"/>
      <c r="K13" s="1315"/>
      <c r="L13" s="1340"/>
      <c r="M13" s="1316"/>
      <c r="N13" s="1316"/>
      <c r="P13" s="1317"/>
      <c r="Q13" s="1318"/>
      <c r="R13" s="1317"/>
      <c r="S13" s="1319"/>
      <c r="T13" s="1320" t="s">
        <v>176</v>
      </c>
      <c r="U13" s="1321"/>
      <c r="V13" s="1321"/>
      <c r="W13" s="1321"/>
      <c r="X13" s="1321"/>
      <c r="Y13" s="1321"/>
      <c r="Z13" s="1321"/>
      <c r="AA13" s="1321"/>
      <c r="AB13" s="1321"/>
      <c r="AC13" s="1321"/>
      <c r="AD13" s="1321"/>
      <c r="AE13" s="1321"/>
      <c r="AF13" s="1321"/>
      <c r="AG13" s="1321"/>
      <c r="AH13" s="1321"/>
      <c r="AI13" s="1321"/>
      <c r="AJ13" s="1321"/>
      <c r="AK13" s="1321"/>
      <c r="AL13" s="1321"/>
      <c r="AM13" s="1321"/>
      <c r="AO13" s="790"/>
      <c r="AP13" s="790" t="str">
        <f>IF(T13="","",T13)</f>
        <v>Добавить источник для дифференциации</v>
      </c>
      <c r="AQ13" s="790"/>
      <c r="AR13" s="790"/>
      <c r="AS13" s="519">
        <v>0</v>
      </c>
    </row>
    <row s="1643" customFormat="1" customHeight="1" ht="0.75" hidden="1">
      <c r="A14" s="1315"/>
      <c r="B14" s="1315"/>
      <c r="C14" s="1315"/>
      <c r="D14" s="1315"/>
      <c r="E14" s="2260"/>
      <c r="F14" s="2259"/>
      <c r="G14" s="1315"/>
      <c r="H14" s="1315"/>
      <c r="I14" s="1315"/>
      <c r="J14" s="1315"/>
      <c r="K14" s="1315"/>
      <c r="L14" s="1340"/>
      <c r="M14" s="1322"/>
      <c r="N14" s="1322"/>
      <c r="P14" s="1317"/>
      <c r="Q14" s="1318"/>
      <c r="R14" s="1317"/>
      <c r="S14" s="1323"/>
      <c r="T14" s="1324" t="s">
        <v>177</v>
      </c>
      <c r="U14" s="1325"/>
      <c r="V14" s="1325"/>
      <c r="W14" s="1325"/>
      <c r="X14" s="1325"/>
      <c r="Y14" s="1325"/>
      <c r="Z14" s="1325"/>
      <c r="AA14" s="1325"/>
      <c r="AB14" s="1325"/>
      <c r="AC14" s="1325"/>
      <c r="AD14" s="1325"/>
      <c r="AE14" s="1325"/>
      <c r="AF14" s="1325"/>
      <c r="AG14" s="1325"/>
      <c r="AH14" s="1325"/>
      <c r="AI14" s="1325"/>
      <c r="AJ14" s="1325"/>
      <c r="AK14" s="1325"/>
      <c r="AL14" s="1325"/>
      <c r="AM14" s="1325"/>
      <c r="AO14" s="790"/>
      <c r="AP14" s="790" t="str">
        <f>IF(T14="","",T14)</f>
        <v>Добавить централизованную систему для дифференциации</v>
      </c>
      <c r="AQ14" s="790"/>
      <c r="AR14" s="790"/>
      <c r="AS14" s="519">
        <v>0</v>
      </c>
    </row>
    <row s="1643" customFormat="1" customHeight="1" ht="0.75" hidden="1">
      <c r="A15" s="1315"/>
      <c r="B15" s="1315"/>
      <c r="C15" s="1315"/>
      <c r="D15" s="1315"/>
      <c r="E15" s="2259"/>
      <c r="F15" s="1315"/>
      <c r="G15" s="1315"/>
      <c r="H15" s="1315"/>
      <c r="I15" s="1315"/>
      <c r="J15" s="1315"/>
      <c r="K15" s="1315"/>
      <c r="L15" s="1340"/>
      <c r="M15" s="1322"/>
      <c r="N15" s="1322"/>
      <c r="P15" s="1317"/>
      <c r="Q15" s="1318"/>
      <c r="R15" s="1317"/>
      <c r="S15" s="1323"/>
      <c r="T15" s="1326" t="s">
        <v>178</v>
      </c>
      <c r="U15" s="1325"/>
      <c r="V15" s="1325"/>
      <c r="W15" s="1325"/>
      <c r="X15" s="1325"/>
      <c r="Y15" s="1325"/>
      <c r="Z15" s="1325"/>
      <c r="AA15" s="1325"/>
      <c r="AB15" s="1325"/>
      <c r="AC15" s="1325"/>
      <c r="AD15" s="1325"/>
      <c r="AE15" s="1325"/>
      <c r="AF15" s="1325"/>
      <c r="AG15" s="1325"/>
      <c r="AH15" s="1325"/>
      <c r="AI15" s="1325"/>
      <c r="AJ15" s="1325"/>
      <c r="AK15" s="1325"/>
      <c r="AL15" s="1325"/>
      <c r="AM15" s="1325"/>
      <c r="AO15" s="790"/>
      <c r="AP15" s="790" t="str">
        <f>IF(T15="","",T15)</f>
        <v>Добавить территорию для дифференциации</v>
      </c>
      <c r="AQ15" s="790"/>
      <c r="AR15" s="790"/>
      <c r="AS15" s="519">
        <v>0</v>
      </c>
    </row>
    <row customHeight="1" ht="14.25" hidden="1">
      <c r="AC16" s="328"/>
      <c r="AK16" s="328"/>
      <c r="AS16" s="1156">
        <v>0</v>
      </c>
    </row>
    <row customHeight="1" ht="14.25" hidden="1">
      <c r="AD17" s="1361"/>
      <c r="AE17" s="1361"/>
      <c r="AF17" s="1361"/>
      <c r="AG17" s="1362"/>
      <c r="AH17" s="2268"/>
      <c r="AI17" s="2269" t="s">
        <v>61</v>
      </c>
      <c r="AJ17" s="2268"/>
      <c r="AK17" s="2269" t="s">
        <v>61</v>
      </c>
      <c r="AS17" s="1156">
        <v>0</v>
      </c>
    </row>
    <row customHeight="1" ht="14.25" hidden="1">
      <c r="AD18" s="1361"/>
      <c r="AE18" s="1361"/>
      <c r="AF18" s="1361"/>
      <c r="AG18" s="329" t="str">
        <f>AH17&amp;"-"&amp;AJ17</f>
        <v>-</v>
      </c>
      <c r="AH18" s="2269"/>
      <c r="AI18" s="2269"/>
      <c r="AJ18" s="2269"/>
      <c r="AK18" s="2269"/>
      <c r="AS18" s="1156">
        <v>0</v>
      </c>
    </row>
    <row customHeight="1" ht="14.25" hidden="1">
      <c r="AK19" s="328"/>
      <c r="AS19" s="1156">
        <v>0</v>
      </c>
    </row>
    <row s="1367" customFormat="1" customHeight="1" ht="22.5" hidden="1">
      <c r="L20" s="1330"/>
      <c r="M20" s="1363"/>
      <c r="N20" s="1363"/>
      <c r="O20" s="1368" t="s">
        <v>431</v>
      </c>
      <c r="P20" s="1363"/>
      <c r="Q20" s="1372"/>
      <c r="R20" s="1372"/>
      <c r="S20" s="730"/>
      <c r="Z20" s="1368"/>
      <c r="AB20" s="1368"/>
      <c r="AC20" s="1367"/>
      <c r="AH20" s="1368"/>
      <c r="AJ20" s="1368"/>
      <c r="AK20" s="1367"/>
      <c r="AN20" s="512"/>
      <c r="AO20" s="512"/>
      <c r="AP20" s="512"/>
      <c r="AQ20" s="512"/>
      <c r="AR20" s="512"/>
      <c r="AS20" s="1161">
        <v>0</v>
      </c>
    </row>
    <row s="1367" customFormat="1" customHeight="1" ht="14.25" hidden="1">
      <c r="L21" s="1330"/>
      <c r="M21" s="1363"/>
      <c r="N21" s="1363"/>
      <c r="O21" s="1363"/>
      <c r="P21" s="1363"/>
      <c r="Q21" s="1372"/>
      <c r="R21" s="1372"/>
      <c r="S21" s="730"/>
      <c r="AC21" s="1367"/>
      <c r="AK21" s="1367"/>
      <c r="AN21" s="512"/>
      <c r="AO21" s="512"/>
      <c r="AP21" s="512"/>
      <c r="AQ21" s="512"/>
      <c r="AR21" s="512"/>
      <c r="AS21" s="1161">
        <v>0</v>
      </c>
    </row>
    <row s="1367" customFormat="1" customHeight="1" ht="14.25" hidden="1">
      <c r="L22" s="1330"/>
      <c r="M22" s="1363"/>
      <c r="N22" s="1363"/>
      <c r="O22" s="1365" t="s">
        <v>432</v>
      </c>
      <c r="P22" s="1363"/>
      <c r="Q22" s="1372"/>
      <c r="R22" s="1372"/>
      <c r="S22" s="730"/>
      <c r="T22" s="1161" t="s">
        <v>433</v>
      </c>
      <c r="AA22" s="187" t="s">
        <v>434</v>
      </c>
      <c r="AC22" s="187" t="s">
        <v>435</v>
      </c>
      <c r="AD22" s="1161" t="s">
        <v>433</v>
      </c>
      <c r="AI22" s="187" t="s">
        <v>436</v>
      </c>
      <c r="AK22" s="187" t="s">
        <v>435</v>
      </c>
      <c r="AN22" s="512"/>
      <c r="AO22" s="512"/>
      <c r="AP22" s="512"/>
      <c r="AQ22" s="512"/>
      <c r="AR22" s="512"/>
      <c r="AS22" s="1161">
        <v>0</v>
      </c>
    </row>
    <row customHeight="1" ht="14.25" hidden="1">
      <c r="O23" s="1365"/>
      <c r="AS23" s="1156">
        <v>0</v>
      </c>
    </row>
    <row customHeight="1" ht="14.25" hidden="1">
      <c r="O24" s="1365"/>
      <c r="AS24" s="1156">
        <v>0</v>
      </c>
    </row>
    <row customHeight="1" ht="14.699999999999998">
      <c r="Q25" s="377"/>
      <c r="R25" s="377"/>
      <c r="S25" s="1276"/>
      <c r="T25" s="364"/>
      <c r="U25" s="364"/>
      <c r="V25" s="510"/>
      <c r="W25" s="510"/>
      <c r="X25" s="510"/>
      <c r="Y25" s="510"/>
      <c r="Z25" s="510"/>
      <c r="AA25" s="510"/>
      <c r="AB25" s="510"/>
      <c r="AC25" s="510"/>
      <c r="AD25" s="510"/>
      <c r="AE25" s="510"/>
      <c r="AF25" s="510"/>
      <c r="AG25" s="510"/>
      <c r="AH25" s="510"/>
      <c r="AI25" s="510"/>
      <c r="AJ25" s="510"/>
      <c r="AK25" s="510"/>
      <c r="AS25" s="1156">
        <v>14</v>
      </c>
    </row>
    <row customHeight="1" ht="63">
      <c r="Q26" s="377"/>
      <c r="R26" s="377"/>
      <c r="S26" s="2249" t="str">
        <f>IF(TEMPLATE_GROUP="P",PT_P_FORM_HEAT_5_NAME_FORM,PT_R_FORM_HEAT_22_NAME_FORM)</f>
        <v>Форма 20. Информация о предложении регулируемой организации о расчетной величине тарифов на теплоноситель, поставляемый теплоснабжающими организациями потребителям, другим теплоснабжающим организациям, тарифов на услуги по передаче тепловой энергии, теплоносителя, о расчетной величине тарифов на теплоноситель в виде воды, поставляемый другим теплоснабжающим организациям в ценовых зонах теплоснабжения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v>
      </c>
      <c r="T26" s="2249"/>
      <c r="U26" s="2249"/>
      <c r="V26" s="2249"/>
      <c r="W26" s="2249"/>
      <c r="X26" s="2249"/>
      <c r="Y26" s="2249"/>
      <c r="Z26" s="2249"/>
      <c r="AA26" s="2249"/>
      <c r="AB26" s="2249"/>
      <c r="AC26" s="2249"/>
      <c r="AD26" s="2249"/>
      <c r="AE26" s="2249"/>
      <c r="AF26" s="2249"/>
      <c r="AG26" s="2249"/>
      <c r="AH26" s="2249"/>
      <c r="AI26" s="2249"/>
      <c r="AJ26" s="2249"/>
      <c r="AK26" s="1244"/>
      <c r="AS26" s="1156">
        <v>60</v>
      </c>
    </row>
    <row customHeight="1" ht="14.699999999999998">
      <c r="Q27" s="377"/>
      <c r="R27" s="377"/>
      <c r="S27" s="2250" t="str">
        <f>IF(org=0,"Не определено",org)</f>
        <v>ПАО "КГК"</v>
      </c>
      <c r="T27" s="2250"/>
      <c r="U27" s="2250"/>
      <c r="V27" s="2250"/>
      <c r="W27" s="2250"/>
      <c r="X27" s="2250"/>
      <c r="Y27" s="2250"/>
      <c r="Z27" s="2250"/>
      <c r="AA27" s="2250"/>
      <c r="AB27" s="2250"/>
      <c r="AC27" s="2250"/>
      <c r="AD27" s="2250"/>
      <c r="AE27" s="2250"/>
      <c r="AF27" s="2250"/>
      <c r="AG27" s="2250"/>
      <c r="AH27" s="2250"/>
      <c r="AI27" s="2250"/>
      <c r="AJ27" s="2250"/>
      <c r="AK27" s="1244"/>
      <c r="AS27" s="1156">
        <v>14</v>
      </c>
    </row>
    <row customHeight="1" ht="14.25" hidden="1">
      <c r="Q28" s="377"/>
      <c r="R28" s="377"/>
      <c r="S28" s="1276"/>
      <c r="T28" s="364"/>
      <c r="U28" s="364"/>
      <c r="V28" s="323"/>
      <c r="W28" s="323"/>
      <c r="X28" s="323"/>
      <c r="Y28" s="323"/>
      <c r="Z28" s="323"/>
      <c r="AA28" s="323"/>
      <c r="AB28" s="323"/>
      <c r="AC28" s="323"/>
      <c r="AD28" s="323"/>
      <c r="AE28" s="323"/>
      <c r="AF28" s="323"/>
      <c r="AG28" s="323"/>
      <c r="AH28" s="323"/>
      <c r="AI28" s="323"/>
      <c r="AJ28" s="323"/>
      <c r="AK28" s="323"/>
      <c r="AL28" s="510"/>
      <c r="AS28" s="1156">
        <v>0</v>
      </c>
    </row>
    <row s="1854" customFormat="1" customHeight="1" ht="25.5" hidden="1">
      <c r="A29" s="1369"/>
      <c r="B29" s="1369"/>
      <c r="C29" s="1369"/>
      <c r="D29" s="1369"/>
      <c r="E29" s="1369"/>
      <c r="F29" s="1369"/>
      <c r="G29" s="1369"/>
      <c r="H29" s="1369"/>
      <c r="I29" s="1369"/>
      <c r="J29" s="1369"/>
      <c r="K29" s="1369"/>
      <c r="L29" s="1370"/>
      <c r="M29" s="1369"/>
      <c r="N29" s="1369"/>
      <c r="O29" s="1369"/>
      <c r="S29" s="2251" t="s">
        <v>42</v>
      </c>
      <c r="T29" s="2251"/>
      <c r="U29" s="1373"/>
      <c r="V29" s="2252" t="str">
        <f>IF(TITLE_NAME_OR_PR_CHANGE="",IF(TITLE_NAME_OR_PR="","",TITLE_NAME_OR_PR),TITLE_NAME_OR_PR_CHANGE)</f>
        <v/>
      </c>
      <c r="W29" s="2252"/>
      <c r="X29" s="2252"/>
      <c r="Y29" s="2252"/>
      <c r="Z29" s="2252"/>
      <c r="AA29" s="2252"/>
      <c r="AB29" s="2252"/>
      <c r="AC29" s="327"/>
      <c r="AD29" s="2252" t="str">
        <f>IF(TITLE_NAME_OR_PR_CHANGE="",IF(TITLE_NAME_OR_PR="","",TITLE_NAME_OR_PR),TITLE_NAME_OR_PR_CHANGE)</f>
        <v/>
      </c>
      <c r="AE29" s="2252"/>
      <c r="AF29" s="2252"/>
      <c r="AG29" s="2252"/>
      <c r="AH29" s="2252"/>
      <c r="AI29" s="2252"/>
      <c r="AJ29" s="2252"/>
      <c r="AK29" s="327"/>
      <c r="AL29" s="327"/>
      <c r="AM29" s="281"/>
      <c r="AN29" s="369"/>
      <c r="AO29" s="369"/>
      <c r="AP29" s="369"/>
      <c r="AQ29" s="369"/>
      <c r="AR29" s="369"/>
      <c r="AS29" s="419">
        <v>0</v>
      </c>
    </row>
    <row s="1854" customFormat="1" customHeight="1" ht="18.75" hidden="1">
      <c r="A30" s="1369"/>
      <c r="B30" s="1369"/>
      <c r="C30" s="1369"/>
      <c r="D30" s="1369"/>
      <c r="E30" s="1369"/>
      <c r="F30" s="1369"/>
      <c r="G30" s="1369"/>
      <c r="H30" s="1369"/>
      <c r="I30" s="1369"/>
      <c r="J30" s="1369"/>
      <c r="K30" s="1369"/>
      <c r="L30" s="1370"/>
      <c r="M30" s="1369"/>
      <c r="N30" s="1369"/>
      <c r="O30" s="1369"/>
      <c r="S30" s="2251" t="s">
        <v>437</v>
      </c>
      <c r="T30" s="2251"/>
      <c r="U30" s="1373"/>
      <c r="V30" s="2265" t="str">
        <f>IF(TITLE_DATE_PR_CHANGE="",IF(TITLE_DATE_PR="","",TITLE_DATE_PR),TITLE_DATE_PR_CHANGE)</f>
        <v>46142</v>
      </c>
      <c r="W30" s="2265"/>
      <c r="X30" s="2265"/>
      <c r="Y30" s="2265"/>
      <c r="Z30" s="2265"/>
      <c r="AA30" s="2265"/>
      <c r="AB30" s="2265"/>
      <c r="AC30" s="327"/>
      <c r="AD30" s="2265" t="str">
        <f>IF(TITLE_DATE_PR_CHANGE="",IF(TITLE_DATE_PR="","",TITLE_DATE_PR),TITLE_DATE_PR_CHANGE)</f>
        <v>46142</v>
      </c>
      <c r="AE30" s="2265"/>
      <c r="AF30" s="2265"/>
      <c r="AG30" s="2265"/>
      <c r="AH30" s="2265"/>
      <c r="AI30" s="2265"/>
      <c r="AJ30" s="2265"/>
      <c r="AK30" s="327"/>
      <c r="AL30" s="327"/>
      <c r="AM30" s="281"/>
      <c r="AN30" s="369"/>
      <c r="AO30" s="369"/>
      <c r="AP30" s="369"/>
      <c r="AQ30" s="369"/>
      <c r="AR30" s="369"/>
      <c r="AS30" s="419">
        <v>0</v>
      </c>
    </row>
    <row s="1854" customFormat="1" customHeight="1" ht="18.75" hidden="1">
      <c r="A31" s="1369"/>
      <c r="B31" s="1369"/>
      <c r="C31" s="1369"/>
      <c r="D31" s="1369"/>
      <c r="E31" s="1369"/>
      <c r="F31" s="1369"/>
      <c r="G31" s="1369"/>
      <c r="H31" s="1369"/>
      <c r="I31" s="1369"/>
      <c r="J31" s="1369"/>
      <c r="K31" s="1369"/>
      <c r="L31" s="1370"/>
      <c r="M31" s="1369"/>
      <c r="N31" s="1369"/>
      <c r="O31" s="1369"/>
      <c r="S31" s="2251" t="s">
        <v>438</v>
      </c>
      <c r="T31" s="2251"/>
      <c r="U31" s="1373"/>
      <c r="V31" s="2252" t="str">
        <f>IF(TITLE_NUMBER_PR_CHANGE="",IF(TITLE_NUMBER_PR="","",TITLE_NUMBER_PR),TITLE_NUMBER_PR_CHANGE)</f>
        <v>206Т</v>
      </c>
      <c r="W31" s="2252"/>
      <c r="X31" s="2252"/>
      <c r="Y31" s="2252"/>
      <c r="Z31" s="2252"/>
      <c r="AA31" s="2252"/>
      <c r="AB31" s="2252"/>
      <c r="AC31" s="327"/>
      <c r="AD31" s="2252" t="str">
        <f>IF(TITLE_NUMBER_PR_CHANGE="",IF(TITLE_NUMBER_PR="","",TITLE_NUMBER_PR),TITLE_NUMBER_PR_CHANGE)</f>
        <v>206Т</v>
      </c>
      <c r="AE31" s="2252"/>
      <c r="AF31" s="2252"/>
      <c r="AG31" s="2252"/>
      <c r="AH31" s="2252"/>
      <c r="AI31" s="2252"/>
      <c r="AJ31" s="2252"/>
      <c r="AK31" s="327"/>
      <c r="AL31" s="327"/>
      <c r="AM31" s="281"/>
      <c r="AN31" s="369"/>
      <c r="AO31" s="369"/>
      <c r="AP31" s="369"/>
      <c r="AQ31" s="369"/>
      <c r="AR31" s="369"/>
      <c r="AS31" s="419">
        <v>0</v>
      </c>
    </row>
    <row s="1854" customFormat="1" customHeight="1" ht="18.75" hidden="1">
      <c r="A32" s="1369"/>
      <c r="B32" s="1369"/>
      <c r="C32" s="1369"/>
      <c r="D32" s="1369"/>
      <c r="E32" s="1369"/>
      <c r="F32" s="1369"/>
      <c r="G32" s="1369"/>
      <c r="H32" s="1369"/>
      <c r="I32" s="1369"/>
      <c r="J32" s="1369"/>
      <c r="K32" s="1369"/>
      <c r="L32" s="1370"/>
      <c r="M32" s="1369"/>
      <c r="N32" s="1369"/>
      <c r="O32" s="1369"/>
      <c r="S32" s="2251" t="s">
        <v>43</v>
      </c>
      <c r="T32" s="2251"/>
      <c r="U32" s="1373"/>
      <c r="V32" s="2252" t="str">
        <f>IF(TITLE_IST_PUB_CHANGE="",IF(TITLE_IST_PUB="","",TITLE_IST_PUB),TITLE_IST_PUB_CHANGE)</f>
        <v/>
      </c>
      <c r="W32" s="2252"/>
      <c r="X32" s="2252"/>
      <c r="Y32" s="2252"/>
      <c r="Z32" s="2252"/>
      <c r="AA32" s="2252"/>
      <c r="AB32" s="2252"/>
      <c r="AC32" s="327"/>
      <c r="AD32" s="2252" t="str">
        <f>IF(TITLE_IST_PUB_CHANGE="",IF(TITLE_IST_PUB="","",TITLE_IST_PUB),TITLE_IST_PUB_CHANGE)</f>
        <v/>
      </c>
      <c r="AE32" s="2252"/>
      <c r="AF32" s="2252"/>
      <c r="AG32" s="2252"/>
      <c r="AH32" s="2252"/>
      <c r="AI32" s="2252"/>
      <c r="AJ32" s="2252"/>
      <c r="AK32" s="327"/>
      <c r="AL32" s="327"/>
      <c r="AM32" s="281"/>
      <c r="AN32" s="369"/>
      <c r="AO32" s="369"/>
      <c r="AP32" s="369"/>
      <c r="AQ32" s="369"/>
      <c r="AR32" s="369"/>
      <c r="AS32" s="419">
        <v>0</v>
      </c>
    </row>
    <row customHeight="1" ht="14.25">
      <c r="Q33" s="377"/>
      <c r="R33" s="377"/>
      <c r="S33" s="1276"/>
      <c r="T33" s="364"/>
      <c r="U33" s="364"/>
      <c r="V33" s="323"/>
      <c r="W33" s="323"/>
      <c r="X33" s="323"/>
      <c r="Y33" s="323"/>
      <c r="Z33" s="323"/>
      <c r="AA33" s="323"/>
      <c r="AB33" s="323"/>
      <c r="AC33" s="323"/>
      <c r="AD33" s="323"/>
      <c r="AE33" s="323"/>
      <c r="AF33" s="323"/>
      <c r="AG33" s="323"/>
      <c r="AH33" s="323"/>
      <c r="AI33" s="323"/>
      <c r="AJ33" s="323"/>
      <c r="AK33" s="323"/>
      <c r="AL33" s="510"/>
      <c r="AS33" s="1156">
        <v>0</v>
      </c>
    </row>
    <row s="1854" customFormat="1" customHeight="1" ht="18.75">
      <c r="A34" s="1369"/>
      <c r="B34" s="1369"/>
      <c r="C34" s="1369"/>
      <c r="D34" s="1369"/>
      <c r="E34" s="1369"/>
      <c r="F34" s="1369"/>
      <c r="G34" s="1369"/>
      <c r="H34" s="1369"/>
      <c r="I34" s="1369"/>
      <c r="J34" s="1369"/>
      <c r="K34" s="1369"/>
      <c r="L34" s="1370"/>
      <c r="M34" s="1369"/>
      <c r="N34" s="1369"/>
      <c r="O34" s="1369"/>
      <c r="S34" s="2251" t="s">
        <v>439</v>
      </c>
      <c r="T34" s="2251"/>
      <c r="U34" s="1373"/>
      <c r="V34" s="2265" t="str">
        <f>IF(TITLE_DATE_PR_CHANGE="",IF(TITLE_DATE_PR="","",TITLE_DATE_PR),TITLE_DATE_PR_CHANGE)</f>
        <v>46142</v>
      </c>
      <c r="W34" s="2265"/>
      <c r="X34" s="2265"/>
      <c r="Y34" s="2265"/>
      <c r="Z34" s="2265"/>
      <c r="AA34" s="2265"/>
      <c r="AB34" s="2265"/>
      <c r="AC34" s="327"/>
      <c r="AD34" s="2265" t="str">
        <f>IF(TITLE_DATE_PR_CHANGE="",IF(TITLE_DATE_PR="","",TITLE_DATE_PR),TITLE_DATE_PR_CHANGE)</f>
        <v>46142</v>
      </c>
      <c r="AE34" s="2265"/>
      <c r="AF34" s="2265"/>
      <c r="AG34" s="2265"/>
      <c r="AH34" s="2265"/>
      <c r="AI34" s="2265"/>
      <c r="AJ34" s="2265"/>
      <c r="AK34" s="327"/>
      <c r="AL34" s="327"/>
      <c r="AM34" s="281"/>
      <c r="AN34" s="369"/>
      <c r="AO34" s="369"/>
      <c r="AP34" s="369"/>
      <c r="AQ34" s="369"/>
      <c r="AR34" s="369"/>
      <c r="AS34" s="419">
        <v>0</v>
      </c>
    </row>
    <row s="1854" customFormat="1" customHeight="1" ht="18.75">
      <c r="A35" s="1369"/>
      <c r="B35" s="1369"/>
      <c r="C35" s="1369"/>
      <c r="D35" s="1369"/>
      <c r="E35" s="1369"/>
      <c r="F35" s="1369"/>
      <c r="G35" s="1369"/>
      <c r="H35" s="1369"/>
      <c r="I35" s="1369"/>
      <c r="J35" s="1369"/>
      <c r="K35" s="1369"/>
      <c r="L35" s="1370"/>
      <c r="M35" s="1369"/>
      <c r="N35" s="1369"/>
      <c r="O35" s="1369"/>
      <c r="S35" s="2251" t="s">
        <v>440</v>
      </c>
      <c r="T35" s="2251"/>
      <c r="U35" s="1373"/>
      <c r="V35" s="2252" t="str">
        <f>IF(TITLE_NUMBER_PR_CHANGE="",IF(TITLE_NUMBER_PR="","",TITLE_NUMBER_PR),TITLE_NUMBER_PR_CHANGE)</f>
        <v>206Т</v>
      </c>
      <c r="W35" s="2252"/>
      <c r="X35" s="2252"/>
      <c r="Y35" s="2252"/>
      <c r="Z35" s="2252"/>
      <c r="AA35" s="2252"/>
      <c r="AB35" s="2252"/>
      <c r="AC35" s="327"/>
      <c r="AD35" s="2252" t="str">
        <f>IF(TITLE_NUMBER_PR_CHANGE="",IF(TITLE_NUMBER_PR="","",TITLE_NUMBER_PR),TITLE_NUMBER_PR_CHANGE)</f>
        <v>206Т</v>
      </c>
      <c r="AE35" s="2252"/>
      <c r="AF35" s="2252"/>
      <c r="AG35" s="2252"/>
      <c r="AH35" s="2252"/>
      <c r="AI35" s="2252"/>
      <c r="AJ35" s="2252"/>
      <c r="AK35" s="327"/>
      <c r="AL35" s="327"/>
      <c r="AM35" s="281"/>
      <c r="AN35" s="369"/>
      <c r="AO35" s="369"/>
      <c r="AP35" s="369"/>
      <c r="AQ35" s="369"/>
      <c r="AR35" s="369"/>
      <c r="AS35" s="419">
        <v>0</v>
      </c>
    </row>
    <row s="1854" customFormat="1" customHeight="1" ht="0">
      <c r="A36" s="1369"/>
      <c r="B36" s="1369"/>
      <c r="C36" s="1369"/>
      <c r="D36" s="1369"/>
      <c r="E36" s="1369"/>
      <c r="F36" s="1369"/>
      <c r="G36" s="1369"/>
      <c r="H36" s="1369"/>
      <c r="I36" s="1369"/>
      <c r="J36" s="1369"/>
      <c r="K36" s="1369"/>
      <c r="L36" s="1370"/>
      <c r="M36" s="1369"/>
      <c r="N36" s="1369"/>
      <c r="O36" s="1369"/>
      <c r="S36" s="324"/>
      <c r="T36" s="324"/>
      <c r="U36" s="1341"/>
      <c r="V36" s="327"/>
      <c r="W36" s="327"/>
      <c r="X36" s="327"/>
      <c r="Y36" s="327"/>
      <c r="Z36" s="327"/>
      <c r="AA36" s="327"/>
      <c r="AB36" s="327"/>
      <c r="AC36" s="279" t="s">
        <v>441</v>
      </c>
      <c r="AD36" s="327"/>
      <c r="AE36" s="327"/>
      <c r="AF36" s="327"/>
      <c r="AG36" s="327"/>
      <c r="AH36" s="327"/>
      <c r="AI36" s="327"/>
      <c r="AJ36" s="327"/>
      <c r="AK36" s="279" t="s">
        <v>441</v>
      </c>
      <c r="AN36" s="369"/>
      <c r="AO36" s="369"/>
      <c r="AP36" s="369"/>
      <c r="AQ36" s="369"/>
      <c r="AR36" s="369"/>
      <c r="AS36" s="419">
        <v>0</v>
      </c>
    </row>
    <row customHeight="1" ht="14.699999999999998">
      <c r="Q37" s="377"/>
      <c r="R37" s="377"/>
      <c r="S37" s="1276"/>
      <c r="T37" s="364"/>
      <c r="U37" s="1245"/>
      <c r="V37" s="2253"/>
      <c r="W37" s="2253"/>
      <c r="X37" s="2253"/>
      <c r="Y37" s="2253"/>
      <c r="Z37" s="2253"/>
      <c r="AA37" s="2253"/>
      <c r="AB37" s="2253"/>
      <c r="AC37" s="2253"/>
      <c r="AD37" s="2253"/>
      <c r="AE37" s="2253"/>
      <c r="AF37" s="2253"/>
      <c r="AG37" s="2253"/>
      <c r="AH37" s="2253"/>
      <c r="AI37" s="2253"/>
      <c r="AJ37" s="2253"/>
      <c r="AK37" s="2253"/>
      <c r="AS37" s="1156">
        <v>14</v>
      </c>
    </row>
    <row customHeight="1" ht="14.699999999999998">
      <c r="Q38" s="377"/>
      <c r="R38" s="377"/>
      <c r="S38" s="2128" t="s">
        <v>317</v>
      </c>
      <c r="T38" s="2128"/>
      <c r="U38" s="2128"/>
      <c r="V38" s="2128"/>
      <c r="W38" s="2128"/>
      <c r="X38" s="2128"/>
      <c r="Y38" s="2128"/>
      <c r="Z38" s="2128"/>
      <c r="AA38" s="2128"/>
      <c r="AB38" s="2128"/>
      <c r="AC38" s="2128"/>
      <c r="AD38" s="2128"/>
      <c r="AE38" s="2128"/>
      <c r="AF38" s="2128"/>
      <c r="AG38" s="2128"/>
      <c r="AH38" s="2128"/>
      <c r="AI38" s="2128"/>
      <c r="AJ38" s="2128"/>
      <c r="AK38" s="2128"/>
      <c r="AL38" s="2128"/>
      <c r="AM38" s="2128" t="s">
        <v>318</v>
      </c>
      <c r="AS38" s="1156">
        <v>14</v>
      </c>
    </row>
    <row customHeight="1" ht="14.699999999999998">
      <c r="Q39" s="377"/>
      <c r="R39" s="377"/>
      <c r="S39" s="2274" t="s">
        <v>89</v>
      </c>
      <c r="T39" s="2210" t="s">
        <v>442</v>
      </c>
      <c r="U39" s="302"/>
      <c r="V39" s="2275" t="s">
        <v>443</v>
      </c>
      <c r="W39" s="2276"/>
      <c r="X39" s="2276"/>
      <c r="Y39" s="2276"/>
      <c r="Z39" s="2276"/>
      <c r="AA39" s="2276"/>
      <c r="AB39" s="2277"/>
      <c r="AC39" s="2278" t="s">
        <v>444</v>
      </c>
      <c r="AD39" s="2275" t="s">
        <v>443</v>
      </c>
      <c r="AE39" s="2276"/>
      <c r="AF39" s="2276"/>
      <c r="AG39" s="2276"/>
      <c r="AH39" s="2276"/>
      <c r="AI39" s="2276"/>
      <c r="AJ39" s="2277"/>
      <c r="AK39" s="2278" t="s">
        <v>445</v>
      </c>
      <c r="AL39" s="2281" t="s">
        <v>446</v>
      </c>
      <c r="AM39" s="2128"/>
      <c r="AS39" s="1156">
        <v>14</v>
      </c>
    </row>
    <row customHeight="1" ht="35.699999999999996">
      <c r="Q40" s="377"/>
      <c r="R40" s="377"/>
      <c r="S40" s="2274"/>
      <c r="T40" s="2210"/>
      <c r="U40" s="1032"/>
      <c r="V40" s="2261" t="s">
        <v>447</v>
      </c>
      <c r="W40" s="2284"/>
      <c r="X40" s="2263" t="s">
        <v>449</v>
      </c>
      <c r="Y40" s="2264"/>
      <c r="Z40" s="2263" t="s">
        <v>450</v>
      </c>
      <c r="AA40" s="2270"/>
      <c r="AB40" s="2264"/>
      <c r="AC40" s="2279"/>
      <c r="AD40" s="2261" t="s">
        <v>469</v>
      </c>
      <c r="AE40" s="2284"/>
      <c r="AF40" s="2263" t="s">
        <v>449</v>
      </c>
      <c r="AG40" s="2264"/>
      <c r="AH40" s="2263" t="s">
        <v>450</v>
      </c>
      <c r="AI40" s="2270"/>
      <c r="AJ40" s="2264"/>
      <c r="AK40" s="2279"/>
      <c r="AL40" s="2282"/>
      <c r="AM40" s="2128"/>
      <c r="AS40" s="1156">
        <v>34</v>
      </c>
    </row>
    <row customHeight="1" ht="35.699999999999996">
      <c r="A41" s="1371"/>
      <c r="B41" s="1371" t="s">
        <v>143</v>
      </c>
      <c r="C41" s="1371" t="s">
        <v>144</v>
      </c>
      <c r="D41" s="1371" t="s">
        <v>145</v>
      </c>
      <c r="E41" s="1365" t="s">
        <v>451</v>
      </c>
      <c r="F41" s="1365" t="s">
        <v>452</v>
      </c>
      <c r="G41" s="1365" t="s">
        <v>453</v>
      </c>
      <c r="H41" s="1365" t="s">
        <v>454</v>
      </c>
      <c r="I41" s="1365" t="s">
        <v>455</v>
      </c>
      <c r="J41" s="1365" t="s">
        <v>456</v>
      </c>
      <c r="K41" s="1365" t="s">
        <v>457</v>
      </c>
      <c r="L41" s="1365" t="s">
        <v>432</v>
      </c>
      <c r="Q41" s="377"/>
      <c r="R41" s="377"/>
      <c r="S41" s="2274"/>
      <c r="T41" s="2210"/>
      <c r="U41" s="303"/>
      <c r="V41" s="2262"/>
      <c r="W41" s="2285"/>
      <c r="X41" s="1223" t="s">
        <v>458</v>
      </c>
      <c r="Y41" s="1223" t="s">
        <v>459</v>
      </c>
      <c r="Z41" s="1339" t="s">
        <v>460</v>
      </c>
      <c r="AA41" s="2271" t="s">
        <v>461</v>
      </c>
      <c r="AB41" s="2272"/>
      <c r="AC41" s="2280"/>
      <c r="AD41" s="2262"/>
      <c r="AE41" s="2285"/>
      <c r="AF41" s="1223" t="s">
        <v>458</v>
      </c>
      <c r="AG41" s="1223" t="s">
        <v>459</v>
      </c>
      <c r="AH41" s="1339" t="s">
        <v>460</v>
      </c>
      <c r="AI41" s="2271" t="s">
        <v>461</v>
      </c>
      <c r="AJ41" s="2272"/>
      <c r="AK41" s="2280"/>
      <c r="AL41" s="2283"/>
      <c r="AM41" s="2128"/>
      <c r="AS41" s="1156">
        <v>34</v>
      </c>
    </row>
    <row s="1642" customFormat="1" customHeight="1" ht="11.25" hidden="1">
      <c r="A42" s="1371"/>
      <c r="B42" s="1371"/>
      <c r="C42" s="1371"/>
      <c r="D42" s="1371"/>
      <c r="E42" s="1371"/>
      <c r="F42" s="1371"/>
      <c r="G42" s="1371"/>
      <c r="H42" s="1371"/>
      <c r="I42" s="1371"/>
      <c r="J42" s="1371"/>
      <c r="K42" s="1371"/>
      <c r="L42" s="1365"/>
      <c r="M42" s="1363"/>
      <c r="N42" s="1363"/>
      <c r="O42" s="1363"/>
      <c r="P42" s="1247"/>
      <c r="Q42" s="1248"/>
      <c r="R42" s="1255">
        <v>1</v>
      </c>
      <c r="S42" s="1278" t="s">
        <v>118</v>
      </c>
      <c r="T42" s="1256" t="s">
        <v>103</v>
      </c>
      <c r="U42" s="1246" t="str">
        <f>OFFSET(U42,0,-1)</f>
        <v>2</v>
      </c>
      <c r="V42" s="1336">
        <f>OFFSET(V42,0,-1)+1</f>
        <v>3</v>
      </c>
      <c r="W42" s="1336"/>
      <c r="X42" s="1336">
        <f>OFFSET(X42,0,-1)+1</f>
        <v>1</v>
      </c>
      <c r="Y42" s="1336">
        <f>OFFSET(Y42,0,-1)+1</f>
        <v>2</v>
      </c>
      <c r="Z42" s="1336">
        <f>OFFSET(Z42,0,-1)+1</f>
        <v>3</v>
      </c>
      <c r="AA42" s="2273">
        <f>OFFSET(AA42,0,-1)+1</f>
        <v>4</v>
      </c>
      <c r="AB42" s="2273"/>
      <c r="AC42" s="1336">
        <f>OFFSET(AC42,0,-2)+1</f>
        <v>5</v>
      </c>
      <c r="AD42" s="1336">
        <f>OFFSET(AD42,0,-1)+1</f>
        <v>6</v>
      </c>
      <c r="AE42" s="1336"/>
      <c r="AF42" s="1336">
        <f>OFFSET(AF42,0,-1)+1</f>
        <v>1</v>
      </c>
      <c r="AG42" s="1336">
        <f>OFFSET(AG42,0,-1)+1</f>
        <v>2</v>
      </c>
      <c r="AH42" s="1336">
        <f>OFFSET(AH42,0,-1)+1</f>
        <v>3</v>
      </c>
      <c r="AI42" s="2273">
        <f>OFFSET(AI42,0,-1)+1</f>
        <v>4</v>
      </c>
      <c r="AJ42" s="2273"/>
      <c r="AK42" s="1336">
        <f>OFFSET(AK42,0,-2)+1</f>
        <v>5</v>
      </c>
      <c r="AL42" s="1246">
        <f>OFFSET(AL42,0,-1)</f>
        <v>5</v>
      </c>
      <c r="AM42" s="1336">
        <f>OFFSET(AM42,0,-1)+1</f>
        <v>6</v>
      </c>
      <c r="AN42" s="512"/>
      <c r="AO42" s="512"/>
      <c r="AP42" s="512"/>
      <c r="AQ42" s="512"/>
      <c r="AR42" s="512"/>
      <c r="AS42" s="497">
        <v>0</v>
      </c>
    </row>
    <row customHeight="1" ht="22.049999999999997">
      <c r="A43" s="1364" t="s">
        <v>187</v>
      </c>
      <c r="B43" s="1364"/>
      <c r="C43" s="1364"/>
      <c r="D43" s="1364"/>
      <c r="E43" s="2259">
        <v>1</v>
      </c>
      <c r="F43" s="1364"/>
      <c r="G43" s="1364"/>
      <c r="H43" s="1364"/>
      <c r="I43" s="1364"/>
      <c r="J43" s="1364"/>
      <c r="K43" s="1364"/>
      <c r="L43" s="1365"/>
      <c r="M43" s="1366"/>
      <c r="N43" s="1366"/>
      <c r="O43" s="1366"/>
      <c r="P43" s="362"/>
      <c r="Q43" s="361"/>
      <c r="R43" s="356"/>
      <c r="S43" s="1337">
        <f>INDEX(PT_DIFFERENTIATION_NUM_NTAR,MATCH(A43,PT_DIFFERENTIATION_NTAR_ID,0))</f>
        <v>0</v>
      </c>
      <c r="T43" s="299" t="s">
        <v>131</v>
      </c>
      <c r="U43" s="301"/>
      <c r="V43" s="2243"/>
      <c r="W43" s="2244"/>
      <c r="X43" s="2244"/>
      <c r="Y43" s="2244"/>
      <c r="Z43" s="2244"/>
      <c r="AA43" s="2244"/>
      <c r="AB43" s="2244"/>
      <c r="AC43" s="2245"/>
      <c r="AD43" s="2243" t="str">
        <f>INDEX(PT_DIFFERENTIATION_NTAR,MATCH(A43,PT_DIFFERENTIATION_NTAR_ID,0))</f>
        <v/>
      </c>
      <c r="AE43" s="2244"/>
      <c r="AF43" s="2244"/>
      <c r="AG43" s="2244"/>
      <c r="AH43" s="2244"/>
      <c r="AI43" s="2244"/>
      <c r="AJ43" s="2244"/>
      <c r="AK43" s="2244"/>
      <c r="AL43" s="2245"/>
      <c r="AM43" s="1259" t="str">
        <f>IF(TEMPLATE_GROUP="P","По данной форме раскрывается в том числе информация о тарифах на теплоноситель в виде воды, поставляемый единой теплоснабжающей организацией потребителям и теплоснабжающими организациями другим теплоснабжающим организациям "&amp;"с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"&amp;"2010 г. N 190-ФЗ ""О теплоснабжении"", а также информация о тарифах на теплоноситель в виде воды, поставляемый теплоснабжающей организацией, теплосетевой организацией в ценовых зонах "&amp;"теплоснабжения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"&amp;"6 части 1 статьи 23 4 Федерального закона от 27 июля 2010 г. N 190-ФЗ ""О теплоснабжении"".
"&amp;"Для каждого вида тарифа в сфере теплоснабжения форма заполняется отдельно.
"&amp;"При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об установлении цены"&amp;" (тарифа), источник официального опубликования решения об установлении цены (тарифа) в сфере теплоснабжения.","Для каждого вида тарифа в сфере теплоснабжения форма заполняется отдельно.
"&amp;"В соответствии с данной формой раскрывается в том числе информация о тарифах на теплоноситель в виде воды, поставляемый единой теплоснабжающей организацией потребителям и теплоснабжающими организациями другим теплоснабжающим "&amp;"организациям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
"&amp;"В соответствии с данной формой раскрывается в том числе информация о тарифах на теплоноситель в виде воды, поставляемый теплоснабжающей организаций, теплосетевой организацией в ценовых зонах теплоснабжения другим теплоснабжающим "&amp;"организациям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"&amp;"Федерального закона от 27 июля 2010 г. N 190-ФЗ ""О теплоснабжении"". Указывается наименование тарифа в случае "&amp;IF(TEMPLATE_GROUP="P","утверждения","предложения")&amp;" нескольких тарифов.
В случае наличия нескольких тарифов информация по ним указывается в отдельных строках.")</f>
        <v>Для каждого вида тарифа в сфере теплоснабжения форма заполняется отдельно.
В соответствии с данной формой раскрывается в том числе информация о тарифах на теплоноситель в виде воды, поставляемый единой теплоснабжающей организацией потребителям и теплоснабжающими организациями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
В соответствии с данной формой раскрывается в том числе информация о тарифах на теплоноситель в виде воды, поставляемый теплоснабжающей организаций, теплосетевой организацией в ценовых зонах теплоснабжения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 Указывается наименование тарифа в случае предложения нескольких тарифов.
В случае наличия нескольких тарифов информация по ним указывается в отдельных строках.</v>
      </c>
      <c r="AO43" s="501"/>
      <c r="AP43" s="501" t="str">
        <f>IF(T43="","",T43)</f>
        <v>Наименование тарифа</v>
      </c>
      <c r="AQ43" s="501"/>
      <c r="AR43" s="501"/>
      <c r="AS43" s="1156">
        <v>21</v>
      </c>
    </row>
    <row customHeight="1" ht="22.049999999999997">
      <c r="A44" s="1364" t="s">
        <v>187</v>
      </c>
      <c r="B44" s="1364" t="s">
        <v>188</v>
      </c>
      <c r="C44" s="1364"/>
      <c r="D44" s="1364"/>
      <c r="E44" s="2260"/>
      <c r="F44" s="2259">
        <v>1</v>
      </c>
      <c r="G44" s="1364"/>
      <c r="H44" s="1364"/>
      <c r="I44" s="1364"/>
      <c r="J44" s="1364"/>
      <c r="K44" s="1364"/>
      <c r="L44" s="1365"/>
      <c r="M44" s="1366"/>
      <c r="N44" s="1366"/>
      <c r="O44" s="1366"/>
      <c r="P44" s="1333"/>
      <c r="Q44" s="353"/>
      <c r="R44" s="354"/>
      <c r="S44" s="1337" t="str">
        <f>INDEX(PT_DIFFERENTIATION_NUM_TER,MATCH(B44,PT_DIFFERENTIATION_TER_ID,0))</f>
        <v>.</v>
      </c>
      <c r="T44" s="309" t="s">
        <v>414</v>
      </c>
      <c r="U44" s="301"/>
      <c r="V44" s="2243"/>
      <c r="W44" s="2244"/>
      <c r="X44" s="2244"/>
      <c r="Y44" s="2244"/>
      <c r="Z44" s="2244"/>
      <c r="AA44" s="2244"/>
      <c r="AB44" s="2244"/>
      <c r="AC44" s="2245"/>
      <c r="AD44" s="2243" t="str">
        <f>INDEX(PT_DIFFERENTIATION_TER,MATCH(B44,PT_DIFFERENTIATION_TER_ID,0))</f>
        <v/>
      </c>
      <c r="AE44" s="2244"/>
      <c r="AF44" s="2244"/>
      <c r="AG44" s="2244"/>
      <c r="AH44" s="2244"/>
      <c r="AI44" s="2244"/>
      <c r="AJ44" s="2244"/>
      <c r="AK44" s="2244"/>
      <c r="AL44" s="2245"/>
      <c r="AM44" s="1259" t="s">
        <v>415</v>
      </c>
      <c r="AO44" s="501"/>
      <c r="AP44" s="501" t="str">
        <f>IF(T44="","",T44)</f>
        <v>Территория действия тарифа</v>
      </c>
      <c r="AQ44" s="501"/>
      <c r="AR44" s="501"/>
      <c r="AS44" s="1156">
        <v>21</v>
      </c>
    </row>
    <row customHeight="1" ht="24">
      <c r="A45" s="1364" t="s">
        <v>187</v>
      </c>
      <c r="B45" s="1364" t="s">
        <v>188</v>
      </c>
      <c r="C45" s="1364" t="s">
        <v>189</v>
      </c>
      <c r="D45" s="1364"/>
      <c r="E45" s="2260"/>
      <c r="F45" s="2260"/>
      <c r="G45" s="2259">
        <v>1</v>
      </c>
      <c r="H45" s="1364"/>
      <c r="I45" s="1364"/>
      <c r="J45" s="1364"/>
      <c r="K45" s="1364"/>
      <c r="L45" s="1365"/>
      <c r="M45" s="1366"/>
      <c r="N45" s="1366"/>
      <c r="O45" s="1366"/>
      <c r="P45" s="355"/>
      <c r="Q45" s="353"/>
      <c r="R45" s="354"/>
      <c r="S45" s="1337" t="str">
        <f>INDEX(PT_DIFFERENTIATION_NUM_CS,MATCH(C45,PT_DIFFERENTIATION_CS_ID,0))</f>
        <v>..</v>
      </c>
      <c r="T45" s="310" t="s">
        <v>416</v>
      </c>
      <c r="U45" s="301"/>
      <c r="V45" s="2243"/>
      <c r="W45" s="2244"/>
      <c r="X45" s="2244"/>
      <c r="Y45" s="2244"/>
      <c r="Z45" s="2244"/>
      <c r="AA45" s="2244"/>
      <c r="AB45" s="2244"/>
      <c r="AC45" s="2245"/>
      <c r="AD45" s="2243" t="str">
        <f>INDEX(PT_DIFFERENTIATION_CS,MATCH(C45,PT_DIFFERENTIATION_CS_ID,0))</f>
        <v/>
      </c>
      <c r="AE45" s="2244"/>
      <c r="AF45" s="2244"/>
      <c r="AG45" s="2244"/>
      <c r="AH45" s="2244"/>
      <c r="AI45" s="2244"/>
      <c r="AJ45" s="2244"/>
      <c r="AK45" s="2244"/>
      <c r="AL45" s="2245"/>
      <c r="AM45" s="1259" t="s">
        <v>417</v>
      </c>
      <c r="AO45" s="501"/>
      <c r="AP45" s="501" t="str">
        <f>IF(T45="","",T45)</f>
        <v>Наименование системы теплоснабжения </v>
      </c>
      <c r="AQ45" s="501"/>
      <c r="AR45" s="501"/>
      <c r="AS45" s="1156">
        <v>23</v>
      </c>
    </row>
    <row customHeight="1" ht="22.049999999999997">
      <c r="A46" s="1364" t="s">
        <v>187</v>
      </c>
      <c r="B46" s="1364" t="s">
        <v>188</v>
      </c>
      <c r="C46" s="1364" t="s">
        <v>189</v>
      </c>
      <c r="D46" s="1364" t="s">
        <v>190</v>
      </c>
      <c r="E46" s="2260"/>
      <c r="F46" s="2260"/>
      <c r="G46" s="2260"/>
      <c r="H46" s="2259">
        <v>1</v>
      </c>
      <c r="I46" s="1364"/>
      <c r="J46" s="1364"/>
      <c r="K46" s="1364"/>
      <c r="L46" s="1365"/>
      <c r="M46" s="1366"/>
      <c r="N46" s="1366"/>
      <c r="O46" s="1366"/>
      <c r="P46" s="355"/>
      <c r="Q46" s="353"/>
      <c r="R46" s="354"/>
      <c r="S46" s="1337" t="str">
        <f>INDEX(PT_DIFFERENTIATION_NUM_IST_TE,MATCH(D46,PT_DIFFERENTIATION_IST_TE_ID,0))</f>
        <v>...</v>
      </c>
      <c r="T46" s="311" t="s">
        <v>418</v>
      </c>
      <c r="U46" s="301"/>
      <c r="V46" s="2243"/>
      <c r="W46" s="2244"/>
      <c r="X46" s="2244"/>
      <c r="Y46" s="2244"/>
      <c r="Z46" s="2244"/>
      <c r="AA46" s="2244"/>
      <c r="AB46" s="2244"/>
      <c r="AC46" s="2245"/>
      <c r="AD46" s="2243" t="str">
        <f>INDEX(PT_DIFFERENTIATION_IST_TE,MATCH(D46,PT_DIFFERENTIATION_IST_TE_ID,0))</f>
        <v/>
      </c>
      <c r="AE46" s="2244"/>
      <c r="AF46" s="2244"/>
      <c r="AG46" s="2244"/>
      <c r="AH46" s="2244"/>
      <c r="AI46" s="2244"/>
      <c r="AJ46" s="2244"/>
      <c r="AK46" s="2244"/>
      <c r="AL46" s="2245"/>
      <c r="AM46" s="1259" t="s">
        <v>419</v>
      </c>
      <c r="AO46" s="501"/>
      <c r="AP46" s="501" t="str">
        <f>IF(T46="","",T46)</f>
        <v>Источник тепловой энергии  </v>
      </c>
      <c r="AQ46" s="501"/>
      <c r="AR46" s="501"/>
      <c r="AS46" s="1156">
        <v>21</v>
      </c>
    </row>
    <row s="1643" customFormat="1" customHeight="1" ht="0">
      <c r="A47" s="1344" t="s">
        <v>187</v>
      </c>
      <c r="B47" s="1344" t="s">
        <v>188</v>
      </c>
      <c r="C47" s="1344" t="s">
        <v>189</v>
      </c>
      <c r="D47" s="1344" t="s">
        <v>190</v>
      </c>
      <c r="E47" s="2260"/>
      <c r="F47" s="2260"/>
      <c r="G47" s="2260"/>
      <c r="H47" s="2260"/>
      <c r="I47" s="2257" t="str">
        <f>S46&amp;".1"</f>
        <v>....1</v>
      </c>
      <c r="J47" s="1344"/>
      <c r="K47" s="1344"/>
      <c r="L47" s="1347" t="s">
        <v>420</v>
      </c>
      <c r="M47" s="511"/>
      <c r="N47" s="511"/>
      <c r="O47" s="511"/>
      <c r="P47" s="2258">
        <v>1</v>
      </c>
      <c r="Q47" s="1332"/>
      <c r="R47" s="357"/>
      <c r="S47" s="1043"/>
      <c r="T47" s="1384"/>
      <c r="U47" s="1385"/>
      <c r="V47" s="2297"/>
      <c r="W47" s="2298"/>
      <c r="X47" s="2298"/>
      <c r="Y47" s="2298"/>
      <c r="Z47" s="2298"/>
      <c r="AA47" s="2298"/>
      <c r="AB47" s="2298"/>
      <c r="AC47" s="2299"/>
      <c r="AD47" s="2297"/>
      <c r="AE47" s="2298"/>
      <c r="AF47" s="2298"/>
      <c r="AG47" s="2298"/>
      <c r="AH47" s="2298"/>
      <c r="AI47" s="2298"/>
      <c r="AJ47" s="2298"/>
      <c r="AK47" s="2298"/>
      <c r="AL47" s="2299"/>
      <c r="AM47" s="1386"/>
      <c r="AO47" s="501"/>
      <c r="AP47" s="501" t="str">
        <f>IF(T47="","",T47)</f>
        <v/>
      </c>
      <c r="AQ47" s="501"/>
      <c r="AR47" s="501"/>
      <c r="AS47" s="512">
        <v>0</v>
      </c>
    </row>
    <row customHeight="1" ht="22.049999999999997">
      <c r="A48" s="1364" t="s">
        <v>187</v>
      </c>
      <c r="B48" s="1364" t="s">
        <v>188</v>
      </c>
      <c r="C48" s="1364" t="s">
        <v>189</v>
      </c>
      <c r="D48" s="1364" t="s">
        <v>190</v>
      </c>
      <c r="E48" s="2260"/>
      <c r="F48" s="2260"/>
      <c r="G48" s="2260"/>
      <c r="H48" s="2260"/>
      <c r="I48" s="2287"/>
      <c r="J48" s="2257" t="str">
        <f>S46&amp;".1"</f>
        <v>....1</v>
      </c>
      <c r="K48" s="1364"/>
      <c r="L48" s="1365" t="s">
        <v>423</v>
      </c>
      <c r="P48" s="2258"/>
      <c r="Q48" s="2258">
        <v>1</v>
      </c>
      <c r="R48" s="358"/>
      <c r="S48" s="1337" t="str">
        <f>$J48</f>
        <v>....1</v>
      </c>
      <c r="T48" s="287" t="s">
        <v>424</v>
      </c>
      <c r="U48" s="301"/>
      <c r="V48" s="2246"/>
      <c r="W48" s="2247"/>
      <c r="X48" s="2247"/>
      <c r="Y48" s="2247"/>
      <c r="Z48" s="2247"/>
      <c r="AA48" s="2247"/>
      <c r="AB48" s="2247"/>
      <c r="AC48" s="2248"/>
      <c r="AD48" s="2246"/>
      <c r="AE48" s="2247"/>
      <c r="AF48" s="2247"/>
      <c r="AG48" s="2247"/>
      <c r="AH48" s="2247"/>
      <c r="AI48" s="2247"/>
      <c r="AJ48" s="2247"/>
      <c r="AK48" s="2247"/>
      <c r="AL48" s="2248"/>
      <c r="AM48" s="1259" t="s">
        <v>425</v>
      </c>
      <c r="AO48" s="501"/>
      <c r="AP48" s="501" t="str">
        <f>IF(T48="","",T48)</f>
        <v>Группа потребителей</v>
      </c>
      <c r="AQ48" s="501"/>
      <c r="AR48" s="501"/>
      <c r="AS48" s="1156">
        <v>21</v>
      </c>
    </row>
    <row customHeight="1" ht="22.049999999999997">
      <c r="A49" s="1364" t="s">
        <v>187</v>
      </c>
      <c r="B49" s="1364" t="s">
        <v>188</v>
      </c>
      <c r="C49" s="1364" t="s">
        <v>189</v>
      </c>
      <c r="D49" s="1364" t="s">
        <v>190</v>
      </c>
      <c r="E49" s="2260"/>
      <c r="F49" s="2260"/>
      <c r="G49" s="2260"/>
      <c r="H49" s="2260"/>
      <c r="I49" s="2287"/>
      <c r="J49" s="2287"/>
      <c r="K49" s="2257" t="str">
        <f>J48&amp;".1"</f>
        <v>....1.1</v>
      </c>
      <c r="L49" s="1365" t="s">
        <v>426</v>
      </c>
      <c r="P49" s="2258"/>
      <c r="Q49" s="2258"/>
      <c r="R49" s="358">
        <v>1</v>
      </c>
      <c r="S49" s="1337" t="str">
        <f>$K49</f>
        <v>....1.1</v>
      </c>
      <c r="T49" s="1348"/>
      <c r="U49" s="301"/>
      <c r="V49" s="752"/>
      <c r="W49" s="326"/>
      <c r="X49" s="752"/>
      <c r="Y49" s="1258"/>
      <c r="Z49" s="2266"/>
      <c r="AA49" s="2108" t="s">
        <v>61</v>
      </c>
      <c r="AB49" s="2266"/>
      <c r="AC49" s="2108" t="s">
        <v>61</v>
      </c>
      <c r="AD49" s="752"/>
      <c r="AE49" s="326"/>
      <c r="AF49" s="752"/>
      <c r="AG49" s="1258"/>
      <c r="AH49" s="2266"/>
      <c r="AI49" s="2108" t="s">
        <v>61</v>
      </c>
      <c r="AJ49" s="2288"/>
      <c r="AK49" s="2108" t="s">
        <v>61</v>
      </c>
      <c r="AL49" s="1349"/>
      <c r="AM49" s="2254" t="s">
        <v>470</v>
      </c>
      <c r="AN49" s="512">
        <f>STRCHECKDATE(V50:AL50)</f>
      </c>
      <c r="AO49" s="501"/>
      <c r="AP49" s="501" t="str">
        <f>IF(T49="","",T49)</f>
        <v/>
      </c>
      <c r="AQ49" s="501"/>
      <c r="AR49" s="501"/>
      <c r="AS49" s="1156">
        <v>21</v>
      </c>
    </row>
    <row customHeight="1" ht="1.05">
      <c r="A50" s="1364" t="s">
        <v>187</v>
      </c>
      <c r="B50" s="1364" t="s">
        <v>188</v>
      </c>
      <c r="C50" s="1364" t="s">
        <v>189</v>
      </c>
      <c r="D50" s="1364" t="s">
        <v>190</v>
      </c>
      <c r="E50" s="2260"/>
      <c r="F50" s="2260"/>
      <c r="G50" s="2260"/>
      <c r="H50" s="2260"/>
      <c r="I50" s="2287"/>
      <c r="J50" s="2287"/>
      <c r="K50" s="2257"/>
      <c r="L50" s="1365"/>
      <c r="P50" s="2258"/>
      <c r="Q50" s="2258"/>
      <c r="R50" s="358"/>
      <c r="S50" s="1343"/>
      <c r="T50" s="301"/>
      <c r="U50" s="301"/>
      <c r="V50" s="326"/>
      <c r="W50" s="326"/>
      <c r="X50" s="326"/>
      <c r="Y50" s="329" t="str">
        <f>Z49&amp;"-"&amp;AB49</f>
        <v>-</v>
      </c>
      <c r="Z50" s="2267"/>
      <c r="AA50" s="2108"/>
      <c r="AB50" s="2267"/>
      <c r="AC50" s="2108"/>
      <c r="AD50" s="326"/>
      <c r="AE50" s="326"/>
      <c r="AF50" s="326"/>
      <c r="AG50" s="329" t="str">
        <f>AH49&amp;"-"&amp;AJ49</f>
        <v>-</v>
      </c>
      <c r="AH50" s="2267"/>
      <c r="AI50" s="2108"/>
      <c r="AJ50" s="2289"/>
      <c r="AK50" s="2108"/>
      <c r="AL50" s="1350"/>
      <c r="AM50" s="2255"/>
      <c r="AO50" s="501"/>
      <c r="AP50" s="501" t="str">
        <f>IF(T50="","",T50)</f>
        <v/>
      </c>
      <c r="AQ50" s="501"/>
      <c r="AR50" s="501"/>
      <c r="AS50" s="1156">
        <v>1</v>
      </c>
    </row>
    <row customHeight="1" ht="11.549999999999999">
      <c r="A51" s="1364" t="s">
        <v>187</v>
      </c>
      <c r="B51" s="1364" t="s">
        <v>188</v>
      </c>
      <c r="C51" s="1364" t="s">
        <v>189</v>
      </c>
      <c r="D51" s="1364" t="s">
        <v>190</v>
      </c>
      <c r="E51" s="2260"/>
      <c r="F51" s="2260"/>
      <c r="G51" s="2260"/>
      <c r="H51" s="2260"/>
      <c r="I51" s="2287"/>
      <c r="J51" s="2257"/>
      <c r="K51" s="1364"/>
      <c r="L51" s="1365"/>
      <c r="P51" s="2258"/>
      <c r="Q51" s="2258"/>
      <c r="R51" s="357"/>
      <c r="S51" s="1279"/>
      <c r="T51" s="288" t="s">
        <v>428</v>
      </c>
      <c r="U51" s="368"/>
      <c r="V51" s="368"/>
      <c r="W51" s="368"/>
      <c r="X51" s="368"/>
      <c r="Y51" s="368"/>
      <c r="Z51" s="368"/>
      <c r="AA51" s="368"/>
      <c r="AB51" s="368"/>
      <c r="AC51" s="368"/>
      <c r="AD51" s="368"/>
      <c r="AE51" s="368"/>
      <c r="AF51" s="368"/>
      <c r="AG51" s="368"/>
      <c r="AH51" s="368"/>
      <c r="AI51" s="368"/>
      <c r="AJ51" s="368"/>
      <c r="AK51" s="368"/>
      <c r="AL51" s="325"/>
      <c r="AM51" s="2256"/>
      <c r="AO51" s="501"/>
      <c r="AP51" s="501" t="str">
        <f>IF(T51="","",T51)</f>
        <v>Добавить вид теплоносителя (параметры теплоносителя)</v>
      </c>
      <c r="AQ51" s="501"/>
      <c r="AR51" s="501"/>
      <c r="AS51" s="1156">
        <v>11</v>
      </c>
    </row>
    <row customHeight="1" ht="11.549999999999999">
      <c r="A52" s="1364" t="s">
        <v>187</v>
      </c>
      <c r="B52" s="1364" t="s">
        <v>188</v>
      </c>
      <c r="C52" s="1364" t="s">
        <v>189</v>
      </c>
      <c r="D52" s="1364" t="s">
        <v>190</v>
      </c>
      <c r="E52" s="2260"/>
      <c r="F52" s="2260"/>
      <c r="G52" s="2260"/>
      <c r="H52" s="2260"/>
      <c r="I52" s="2257"/>
      <c r="J52" s="1364"/>
      <c r="K52" s="1364"/>
      <c r="L52" s="1365"/>
      <c r="P52" s="2258"/>
      <c r="Q52" s="1332"/>
      <c r="R52" s="357"/>
      <c r="S52" s="1279"/>
      <c r="T52" s="366" t="s">
        <v>429</v>
      </c>
      <c r="U52" s="368"/>
      <c r="V52" s="368"/>
      <c r="W52" s="368"/>
      <c r="X52" s="368"/>
      <c r="Y52" s="368"/>
      <c r="Z52" s="368"/>
      <c r="AA52" s="368"/>
      <c r="AB52" s="368"/>
      <c r="AC52" s="367"/>
      <c r="AD52" s="368"/>
      <c r="AE52" s="368"/>
      <c r="AF52" s="368"/>
      <c r="AG52" s="368"/>
      <c r="AH52" s="368"/>
      <c r="AI52" s="368"/>
      <c r="AJ52" s="368"/>
      <c r="AK52" s="367"/>
      <c r="AL52" s="368"/>
      <c r="AM52" s="304"/>
      <c r="AO52" s="501"/>
      <c r="AP52" s="501" t="str">
        <f>IF(T52="","",T52)</f>
        <v>Добавить группу потребителей</v>
      </c>
      <c r="AQ52" s="501"/>
      <c r="AR52" s="501"/>
      <c r="AS52" s="1156">
        <v>11</v>
      </c>
    </row>
    <row customHeight="1" ht="0">
      <c r="A53" s="1364" t="s">
        <v>187</v>
      </c>
      <c r="B53" s="1364" t="s">
        <v>188</v>
      </c>
      <c r="C53" s="1364" t="s">
        <v>189</v>
      </c>
      <c r="D53" s="1364" t="s">
        <v>190</v>
      </c>
      <c r="E53" s="2260"/>
      <c r="F53" s="2260"/>
      <c r="G53" s="2260"/>
      <c r="H53" s="2259"/>
      <c r="I53" s="1364"/>
      <c r="J53" s="1364"/>
      <c r="K53" s="1364"/>
      <c r="L53" s="1365"/>
      <c r="M53" s="1366"/>
      <c r="N53" s="1366"/>
      <c r="O53" s="538"/>
      <c r="P53" s="361"/>
      <c r="Q53" s="376"/>
      <c r="R53" s="356"/>
      <c r="S53" s="1387"/>
      <c r="T53" s="1388"/>
      <c r="U53" s="1389"/>
      <c r="V53" s="1389"/>
      <c r="W53" s="1389"/>
      <c r="X53" s="1389"/>
      <c r="Y53" s="1389"/>
      <c r="Z53" s="1389"/>
      <c r="AA53" s="1389"/>
      <c r="AB53" s="1389"/>
      <c r="AC53" s="1389"/>
      <c r="AD53" s="1389"/>
      <c r="AE53" s="1389"/>
      <c r="AF53" s="1389"/>
      <c r="AG53" s="1389"/>
      <c r="AH53" s="1389"/>
      <c r="AI53" s="1389"/>
      <c r="AJ53" s="1389"/>
      <c r="AK53" s="1389"/>
      <c r="AL53" s="1389"/>
      <c r="AM53" s="1390"/>
      <c r="AO53" s="501"/>
      <c r="AP53" s="501" t="str">
        <f>IF(T53="","",T53)</f>
        <v/>
      </c>
      <c r="AQ53" s="501"/>
      <c r="AR53" s="501"/>
      <c r="AS53" s="1156">
        <v>0</v>
      </c>
    </row>
    <row s="1643" customFormat="1" customHeight="1" ht="1.05">
      <c r="A54" s="1344" t="s">
        <v>187</v>
      </c>
      <c r="B54" s="1344" t="s">
        <v>188</v>
      </c>
      <c r="C54" s="1344" t="s">
        <v>189</v>
      </c>
      <c r="D54" s="1315"/>
      <c r="E54" s="2260"/>
      <c r="F54" s="2260"/>
      <c r="G54" s="2259"/>
      <c r="H54" s="1315"/>
      <c r="I54" s="1315"/>
      <c r="J54" s="1315"/>
      <c r="K54" s="1315"/>
      <c r="L54" s="1340"/>
      <c r="M54" s="1316"/>
      <c r="N54" s="1316"/>
      <c r="P54" s="1317"/>
      <c r="Q54" s="1318"/>
      <c r="R54" s="1317"/>
      <c r="S54" s="1323"/>
      <c r="T54" s="1326" t="s">
        <v>176</v>
      </c>
      <c r="U54" s="1325"/>
      <c r="V54" s="1325"/>
      <c r="W54" s="1325"/>
      <c r="X54" s="1325"/>
      <c r="Y54" s="1325"/>
      <c r="Z54" s="1325"/>
      <c r="AA54" s="1325"/>
      <c r="AB54" s="1325"/>
      <c r="AC54" s="1325"/>
      <c r="AD54" s="1325"/>
      <c r="AE54" s="1325"/>
      <c r="AF54" s="1325"/>
      <c r="AG54" s="1325"/>
      <c r="AH54" s="1325"/>
      <c r="AI54" s="1325"/>
      <c r="AJ54" s="1325"/>
      <c r="AK54" s="1325"/>
      <c r="AL54" s="1325"/>
      <c r="AM54" s="1325"/>
      <c r="AO54" s="790"/>
      <c r="AP54" s="790" t="str">
        <f>IF(T54="","",T54)</f>
        <v>Добавить источник для дифференциации</v>
      </c>
      <c r="AQ54" s="790"/>
      <c r="AR54" s="790"/>
      <c r="AS54" s="519">
        <v>1</v>
      </c>
    </row>
    <row s="1643" customFormat="1" customHeight="1" ht="1.05">
      <c r="A55" s="1344" t="s">
        <v>187</v>
      </c>
      <c r="B55" s="1344" t="s">
        <v>188</v>
      </c>
      <c r="C55" s="1315"/>
      <c r="D55" s="1315"/>
      <c r="E55" s="2260"/>
      <c r="F55" s="2259"/>
      <c r="G55" s="1315"/>
      <c r="H55" s="1315"/>
      <c r="I55" s="1315"/>
      <c r="J55" s="1315"/>
      <c r="K55" s="1315"/>
      <c r="L55" s="1340"/>
      <c r="M55" s="1322"/>
      <c r="N55" s="1322"/>
      <c r="P55" s="1317"/>
      <c r="Q55" s="1318"/>
      <c r="R55" s="1317"/>
      <c r="S55" s="1323"/>
      <c r="T55" s="1326" t="s">
        <v>177</v>
      </c>
      <c r="U55" s="1325"/>
      <c r="V55" s="1325"/>
      <c r="W55" s="1325"/>
      <c r="X55" s="1325"/>
      <c r="Y55" s="1325"/>
      <c r="Z55" s="1325"/>
      <c r="AA55" s="1325"/>
      <c r="AB55" s="1325"/>
      <c r="AC55" s="1325"/>
      <c r="AD55" s="1325"/>
      <c r="AE55" s="1325"/>
      <c r="AF55" s="1325"/>
      <c r="AG55" s="1325"/>
      <c r="AH55" s="1325"/>
      <c r="AI55" s="1325"/>
      <c r="AJ55" s="1325"/>
      <c r="AK55" s="1325"/>
      <c r="AL55" s="1325"/>
      <c r="AM55" s="1325"/>
      <c r="AO55" s="790"/>
      <c r="AP55" s="790" t="str">
        <f>IF(T55="","",T55)</f>
        <v>Добавить централизованную систему для дифференциации</v>
      </c>
      <c r="AQ55" s="790"/>
      <c r="AR55" s="790"/>
      <c r="AS55" s="519">
        <v>1</v>
      </c>
    </row>
    <row s="1643" customFormat="1" customHeight="1" ht="1.05">
      <c r="A56" s="1344" t="s">
        <v>187</v>
      </c>
      <c r="B56" s="1344"/>
      <c r="C56" s="1344"/>
      <c r="D56" s="1344"/>
      <c r="E56" s="2259"/>
      <c r="F56" s="1344"/>
      <c r="G56" s="1344"/>
      <c r="H56" s="1344"/>
      <c r="I56" s="1344"/>
      <c r="J56" s="1344"/>
      <c r="K56" s="1344"/>
      <c r="L56" s="1347"/>
      <c r="M56" s="1322"/>
      <c r="N56" s="1322"/>
      <c r="O56" s="519"/>
      <c r="P56" s="381"/>
      <c r="Q56" s="1345"/>
      <c r="R56" s="381"/>
      <c r="S56" s="1323"/>
      <c r="T56" s="1326" t="s">
        <v>178</v>
      </c>
      <c r="U56" s="1325"/>
      <c r="V56" s="1325"/>
      <c r="W56" s="1325"/>
      <c r="X56" s="1325"/>
      <c r="Y56" s="1325"/>
      <c r="Z56" s="1325"/>
      <c r="AA56" s="1325"/>
      <c r="AB56" s="1325"/>
      <c r="AC56" s="1325"/>
      <c r="AD56" s="1325"/>
      <c r="AE56" s="1325"/>
      <c r="AF56" s="1325"/>
      <c r="AG56" s="1325"/>
      <c r="AH56" s="1325"/>
      <c r="AI56" s="1325"/>
      <c r="AJ56" s="1325"/>
      <c r="AK56" s="1325"/>
      <c r="AL56" s="1325"/>
      <c r="AM56" s="1325"/>
      <c r="AO56" s="501"/>
      <c r="AP56" s="501" t="str">
        <f>IF(T56="","",T56)</f>
        <v>Добавить территорию для дифференциации</v>
      </c>
      <c r="AQ56" s="501"/>
      <c r="AR56" s="501"/>
      <c r="AS56" s="512">
        <v>1</v>
      </c>
    </row>
    <row s="1643" customFormat="1" customHeight="1" ht="1.05">
      <c r="A57" s="1315"/>
      <c r="B57" s="1315"/>
      <c r="C57" s="1315"/>
      <c r="D57" s="1315"/>
      <c r="E57" s="1344"/>
      <c r="F57" s="1315"/>
      <c r="G57" s="1315"/>
      <c r="H57" s="1315"/>
      <c r="I57" s="1315"/>
      <c r="J57" s="1315"/>
      <c r="K57" s="1315"/>
      <c r="L57" s="1340"/>
      <c r="M57" s="1322"/>
      <c r="N57" s="1322"/>
      <c r="P57" s="1317"/>
      <c r="Q57" s="1318"/>
      <c r="R57" s="1317"/>
      <c r="S57" s="1323"/>
      <c r="T57" s="1326" t="s">
        <v>184</v>
      </c>
      <c r="U57" s="1325"/>
      <c r="V57" s="1325"/>
      <c r="W57" s="1325"/>
      <c r="X57" s="1325"/>
      <c r="Y57" s="1325"/>
      <c r="Z57" s="1325"/>
      <c r="AA57" s="1325"/>
      <c r="AB57" s="1325"/>
      <c r="AC57" s="1325"/>
      <c r="AD57" s="1325"/>
      <c r="AE57" s="1325"/>
      <c r="AF57" s="1325"/>
      <c r="AG57" s="1325"/>
      <c r="AH57" s="1325"/>
      <c r="AI57" s="1325"/>
      <c r="AJ57" s="1325"/>
      <c r="AK57" s="1325"/>
      <c r="AL57" s="1325"/>
      <c r="AM57" s="1325"/>
      <c r="AO57" s="790"/>
      <c r="AP57" s="790" t="str">
        <f>IF(T57="","",T57)</f>
        <v>Добавить наименование тарифа</v>
      </c>
      <c r="AQ57" s="790"/>
      <c r="AR57" s="790"/>
      <c r="AS57" s="519">
        <v>1</v>
      </c>
    </row>
    <row customHeight="1" ht="11.549999999999999">
      <c r="M58" s="1161"/>
      <c r="N58" s="1161"/>
      <c r="O58" s="538"/>
      <c r="P58" s="1156"/>
      <c r="Q58" s="1156"/>
      <c r="R58" s="1156"/>
      <c r="S58" s="1156"/>
      <c r="AN58" s="1156"/>
      <c r="AO58" s="1156"/>
      <c r="AP58" s="1156"/>
      <c r="AQ58" s="1156"/>
      <c r="AR58" s="1156"/>
      <c r="AS58" s="1156">
        <v>11</v>
      </c>
    </row>
    <row customHeight="1" ht="19.95">
      <c r="O59" s="538"/>
      <c r="S59" s="1254"/>
      <c r="T59" s="2286"/>
      <c r="U59" s="2286"/>
      <c r="V59" s="2286"/>
      <c r="W59" s="2286"/>
      <c r="X59" s="2286"/>
      <c r="Y59" s="2286"/>
      <c r="Z59" s="2286"/>
      <c r="AA59" s="2286"/>
      <c r="AB59" s="2286"/>
      <c r="AC59" s="2286"/>
      <c r="AD59" s="2286"/>
      <c r="AE59" s="2286"/>
      <c r="AF59" s="2286"/>
      <c r="AG59" s="2286"/>
      <c r="AH59" s="2286"/>
      <c r="AI59" s="2286"/>
      <c r="AJ59" s="2286"/>
      <c r="AK59" s="2286"/>
      <c r="AL59" s="2286"/>
      <c r="AM59" s="2286"/>
      <c r="AS59" s="1156">
        <v>19</v>
      </c>
    </row>
    <row customHeight="1" ht="29.25">
      <c r="O60" s="538"/>
      <c r="T60" s="2286"/>
      <c r="U60" s="2286"/>
      <c r="V60" s="2286"/>
      <c r="W60" s="2286"/>
      <c r="X60" s="2286"/>
      <c r="Y60" s="2286"/>
      <c r="Z60" s="2286"/>
      <c r="AA60" s="2286"/>
      <c r="AB60" s="2286"/>
      <c r="AC60" s="2286"/>
      <c r="AD60" s="2286"/>
      <c r="AE60" s="2286"/>
      <c r="AF60" s="2286"/>
      <c r="AG60" s="2286"/>
      <c r="AH60" s="2286"/>
      <c r="AI60" s="2286"/>
      <c r="AJ60" s="2286"/>
      <c r="AK60" s="2286"/>
      <c r="AL60" s="2286"/>
      <c r="AM60" s="2286"/>
      <c r="AS60" s="1156">
        <v>28</v>
      </c>
    </row>
    <row customHeight="1" ht="42">
      <c r="O61" s="538"/>
      <c r="T61" s="2286"/>
      <c r="U61" s="2286"/>
      <c r="V61" s="2286"/>
      <c r="W61" s="2286"/>
      <c r="X61" s="2286"/>
      <c r="Y61" s="2286"/>
      <c r="Z61" s="2286"/>
      <c r="AA61" s="2286"/>
      <c r="AB61" s="2286"/>
      <c r="AC61" s="2286"/>
      <c r="AD61" s="2286"/>
      <c r="AE61" s="2286"/>
      <c r="AF61" s="2286"/>
      <c r="AG61" s="2286"/>
      <c r="AH61" s="2286"/>
      <c r="AI61" s="2286"/>
      <c r="AJ61" s="2286"/>
      <c r="AK61" s="2286"/>
      <c r="AL61" s="2286"/>
      <c r="AM61" s="2286"/>
      <c r="AS61" s="1156">
        <v>40</v>
      </c>
    </row>
    <row customHeight="1" ht="14.699999999999998">
      <c r="O62" s="538"/>
      <c r="AS62" s="1156">
        <v>14</v>
      </c>
    </row>
    <row customHeight="1" ht="21">
      <c r="O63" s="538"/>
      <c r="S63" s="1254"/>
      <c r="T63" s="2300"/>
      <c r="U63" s="2286"/>
      <c r="V63" s="2286"/>
      <c r="W63" s="2286"/>
      <c r="X63" s="2286"/>
      <c r="Y63" s="2286"/>
      <c r="Z63" s="2286"/>
      <c r="AA63" s="2286"/>
      <c r="AB63" s="2286"/>
      <c r="AC63" s="2286"/>
      <c r="AD63" s="2286"/>
      <c r="AE63" s="2286"/>
      <c r="AF63" s="2286"/>
      <c r="AG63" s="2286"/>
      <c r="AH63" s="2286"/>
      <c r="AI63" s="2286"/>
      <c r="AJ63" s="2286"/>
      <c r="AK63" s="2286"/>
      <c r="AL63" s="2286"/>
      <c r="AM63" s="2286"/>
      <c r="AS63" s="1156">
        <v>20</v>
      </c>
    </row>
    <row customHeight="1" ht="29.25">
      <c r="O64" s="538"/>
      <c r="T64" s="2286"/>
      <c r="U64" s="2286"/>
      <c r="V64" s="2286"/>
      <c r="W64" s="2286"/>
      <c r="X64" s="2286"/>
      <c r="Y64" s="2286"/>
      <c r="Z64" s="2286"/>
      <c r="AA64" s="2286"/>
      <c r="AB64" s="2286"/>
      <c r="AC64" s="2286"/>
      <c r="AD64" s="2286"/>
      <c r="AE64" s="2286"/>
      <c r="AF64" s="2286"/>
      <c r="AG64" s="2286"/>
      <c r="AH64" s="2286"/>
      <c r="AI64" s="2286"/>
      <c r="AJ64" s="2286"/>
      <c r="AK64" s="2286"/>
      <c r="AL64" s="2286"/>
      <c r="AM64" s="2286"/>
      <c r="AS64" s="1156">
        <v>28</v>
      </c>
    </row>
    <row customHeight="1" ht="35.699999999999996">
      <c r="T65" s="2286"/>
      <c r="U65" s="2286"/>
      <c r="V65" s="2286"/>
      <c r="W65" s="2286"/>
      <c r="X65" s="2286"/>
      <c r="Y65" s="2286"/>
      <c r="Z65" s="2286"/>
      <c r="AA65" s="2286"/>
      <c r="AB65" s="2286"/>
      <c r="AC65" s="2286"/>
      <c r="AD65" s="2286"/>
      <c r="AE65" s="2286"/>
      <c r="AF65" s="2286"/>
      <c r="AG65" s="2286"/>
      <c r="AH65" s="2286"/>
      <c r="AI65" s="2286"/>
      <c r="AJ65" s="2286"/>
      <c r="AK65" s="2286"/>
      <c r="AL65" s="2286"/>
      <c r="AM65" s="2286"/>
      <c r="AS65" s="1156">
        <v>34</v>
      </c>
    </row>
    <row customHeight="1" ht="22.5" hidden="1">
      <c r="A66" s="1161" t="s">
        <v>83</v>
      </c>
      <c r="B66" s="1161">
        <v>0</v>
      </c>
      <c r="C66" s="1161">
        <v>0</v>
      </c>
      <c r="D66" s="1161">
        <v>0</v>
      </c>
      <c r="E66" s="1161">
        <v>0</v>
      </c>
      <c r="F66" s="1161">
        <v>0</v>
      </c>
      <c r="G66" s="1161">
        <v>0</v>
      </c>
      <c r="H66" s="1161">
        <v>0</v>
      </c>
      <c r="I66" s="1161">
        <v>0</v>
      </c>
      <c r="J66" s="1161">
        <v>0</v>
      </c>
      <c r="K66" s="1161">
        <v>0</v>
      </c>
      <c r="L66" s="1330">
        <v>0</v>
      </c>
      <c r="M66" s="1363">
        <v>0</v>
      </c>
      <c r="N66" s="1363">
        <v>0</v>
      </c>
      <c r="O66" s="1363">
        <v>0</v>
      </c>
      <c r="P66" s="1329">
        <v>0</v>
      </c>
      <c r="Q66" s="345">
        <v>3</v>
      </c>
      <c r="R66" s="345">
        <v>3</v>
      </c>
      <c r="S66" s="582">
        <v>12</v>
      </c>
      <c r="T66" s="1156">
        <v>31</v>
      </c>
      <c r="U66" s="1156">
        <v>0</v>
      </c>
      <c r="V66" s="1156">
        <v>0</v>
      </c>
      <c r="W66" s="1156">
        <v>0</v>
      </c>
      <c r="X66" s="1156">
        <v>0</v>
      </c>
      <c r="Y66" s="1156">
        <v>0</v>
      </c>
      <c r="Z66" s="1156">
        <v>0</v>
      </c>
      <c r="AA66" s="1156">
        <v>0</v>
      </c>
      <c r="AB66" s="1156">
        <v>0</v>
      </c>
      <c r="AC66" s="1156">
        <v>0</v>
      </c>
      <c r="AD66" s="1156">
        <v>24</v>
      </c>
      <c r="AE66" s="1156">
        <v>0</v>
      </c>
      <c r="AF66" s="1156">
        <v>24</v>
      </c>
      <c r="AG66" s="1156">
        <v>24</v>
      </c>
      <c r="AH66" s="1156">
        <v>11</v>
      </c>
      <c r="AI66" s="1156">
        <v>3</v>
      </c>
      <c r="AJ66" s="1156">
        <v>11</v>
      </c>
      <c r="AK66" s="1156">
        <v>0</v>
      </c>
      <c r="AL66" s="1156">
        <v>4</v>
      </c>
      <c r="AM66" s="1156">
        <v>115</v>
      </c>
      <c r="AN66" s="512">
        <v>10</v>
      </c>
      <c r="AO66" s="512">
        <v>10</v>
      </c>
      <c r="AP66" s="512">
        <v>10</v>
      </c>
      <c r="AQ66" s="512">
        <v>10</v>
      </c>
      <c r="AR66" s="512">
        <v>10</v>
      </c>
      <c r="AS66" s="1156">
        <v>23</v>
      </c>
    </row>
  </sheetData>
  <sheetProtection formatColumns="0" formatRows="0" autoFilter="0" sort="0" insertRows="0" insertColumns="1" deleteRows="0" deleteColumns="0"/>
  <mergeCells count="113">
    <mergeCell ref="T64:AM64"/>
    <mergeCell ref="T65:AM65"/>
    <mergeCell ref="S35:T35"/>
    <mergeCell ref="V35:AB35"/>
    <mergeCell ref="AD35:AJ35"/>
    <mergeCell ref="S34:T34"/>
    <mergeCell ref="V34:AB34"/>
    <mergeCell ref="AD34:AJ34"/>
    <mergeCell ref="V2:AC2"/>
    <mergeCell ref="AD2:AL2"/>
    <mergeCell ref="V3:AC3"/>
    <mergeCell ref="AD3:AL3"/>
    <mergeCell ref="V4:AC4"/>
    <mergeCell ref="AD4:AL4"/>
    <mergeCell ref="V5:AC5"/>
    <mergeCell ref="AD5:AL5"/>
    <mergeCell ref="V6:AC6"/>
    <mergeCell ref="AD6:AL6"/>
    <mergeCell ref="V7:AC7"/>
    <mergeCell ref="AD7:AL7"/>
    <mergeCell ref="T63:AM63"/>
    <mergeCell ref="T61:AM61"/>
    <mergeCell ref="AJ49:AJ50"/>
    <mergeCell ref="AK49:AK50"/>
    <mergeCell ref="AM49:AM51"/>
    <mergeCell ref="T59:AM59"/>
    <mergeCell ref="T60:AM60"/>
    <mergeCell ref="AA42:AB42"/>
    <mergeCell ref="AI42:AJ42"/>
    <mergeCell ref="E43:E56"/>
    <mergeCell ref="V43:AC43"/>
    <mergeCell ref="AD43:AL43"/>
    <mergeCell ref="F44:F55"/>
    <mergeCell ref="V44:AC44"/>
    <mergeCell ref="AD44:AL44"/>
    <mergeCell ref="G45:G54"/>
    <mergeCell ref="V45:AC45"/>
    <mergeCell ref="AD45:AL45"/>
    <mergeCell ref="H46:H53"/>
    <mergeCell ref="V46:AC46"/>
    <mergeCell ref="AD46:AL46"/>
    <mergeCell ref="P47:P52"/>
    <mergeCell ref="J48:J51"/>
    <mergeCell ref="Q48:Q51"/>
    <mergeCell ref="V48:AC48"/>
    <mergeCell ref="AD48:AL48"/>
    <mergeCell ref="K49:K50"/>
    <mergeCell ref="Z49:Z50"/>
    <mergeCell ref="AM38:AM41"/>
    <mergeCell ref="S39:S41"/>
    <mergeCell ref="T39:T41"/>
    <mergeCell ref="V39:AB39"/>
    <mergeCell ref="AC39:AC41"/>
    <mergeCell ref="AD39:AJ39"/>
    <mergeCell ref="AK39:AK41"/>
    <mergeCell ref="AL39:AL41"/>
    <mergeCell ref="V40:V41"/>
    <mergeCell ref="W40:W41"/>
    <mergeCell ref="X40:Y40"/>
    <mergeCell ref="Z40:AB40"/>
    <mergeCell ref="AD40:AD41"/>
    <mergeCell ref="AM8:AM10"/>
    <mergeCell ref="AH17:AH18"/>
    <mergeCell ref="AI17:AI18"/>
    <mergeCell ref="AJ17:AJ18"/>
    <mergeCell ref="AK17:AK18"/>
    <mergeCell ref="Z8:Z9"/>
    <mergeCell ref="AA8:AA9"/>
    <mergeCell ref="S29:T29"/>
    <mergeCell ref="S30:T30"/>
    <mergeCell ref="V29:AB29"/>
    <mergeCell ref="AD29:AJ29"/>
    <mergeCell ref="V30:AB30"/>
    <mergeCell ref="AD30:AJ30"/>
    <mergeCell ref="AH8:AH9"/>
    <mergeCell ref="AI8:AI9"/>
    <mergeCell ref="AJ8:AJ9"/>
    <mergeCell ref="AK8:AK9"/>
    <mergeCell ref="AB8:AB9"/>
    <mergeCell ref="AC8:AC9"/>
    <mergeCell ref="I47:I52"/>
    <mergeCell ref="V32:AB32"/>
    <mergeCell ref="E2:E15"/>
    <mergeCell ref="F3:F14"/>
    <mergeCell ref="G4:G13"/>
    <mergeCell ref="H5:H12"/>
    <mergeCell ref="I6:I11"/>
    <mergeCell ref="P6:P11"/>
    <mergeCell ref="J7:J10"/>
    <mergeCell ref="Q7:Q10"/>
    <mergeCell ref="K8:K9"/>
    <mergeCell ref="S31:T31"/>
    <mergeCell ref="V31:AB31"/>
    <mergeCell ref="S32:T32"/>
    <mergeCell ref="AA41:AB41"/>
    <mergeCell ref="V37:AC37"/>
    <mergeCell ref="S38:AL38"/>
    <mergeCell ref="S26:AJ26"/>
    <mergeCell ref="S27:AJ27"/>
    <mergeCell ref="AC49:AC50"/>
    <mergeCell ref="AA49:AA50"/>
    <mergeCell ref="AB49:AB50"/>
    <mergeCell ref="AH49:AH50"/>
    <mergeCell ref="AI49:AI50"/>
    <mergeCell ref="V47:AC47"/>
    <mergeCell ref="AD47:AL47"/>
    <mergeCell ref="AD31:AJ31"/>
    <mergeCell ref="AD32:AJ32"/>
    <mergeCell ref="AE40:AE41"/>
    <mergeCell ref="AF40:AG40"/>
    <mergeCell ref="AH40:AJ40"/>
    <mergeCell ref="AI41:AJ41"/>
    <mergeCell ref="AD37:AK37"/>
  </mergeCells>
  <dataValidations count="8">
    <dataValidation allowBlank="1" sqref="S131123:AM131129 S196659:AM196665 S262195:AM262201 S327731:AM327737 S393267:AM393273 S458803:AM458809 S524339:AM524345 S589875:AM589881 S655411:AM655417 S720947:AM720953 S786483:AM786489 S852019:AM852025 S917555:AM917561 S983091:AM983097 S65587:AM65593"/>
    <dataValidation type="list" allowBlank="1" showInputMessage="1" errorTitle="Ошибка" error="Выберите значение из списка" prompt="Выберите значение из списка" sqref="V983088:AL983088 V65584:AL65584 V131120:AL131120 V196656:AL196656 V262192:AL262192 V327728:AL327728 V393264:AL393264 V458800:AL458800 V524336:AL524336 V589872:AL589872 V655408:AL655408 V720944:AL720944 V786480:AL786480 V852016:AL852016 V917552:AL917552">
      <formula1>kind_of_cons</formula1>
    </dataValidation>
    <dataValidation type="list" allowBlank="1" showInputMessage="1" showErrorMessage="1" errorTitle="Ошибка" error="Выберите значение из списка" sqref="V983087:W983087 V65583:W65583 V131119:W131119 V196655:W196655 V262191:W262191 V327727:W327727 V393263:W393263 V458799:W458799 V524335:W524335 V589871:W589871 V655407:W655407 V720943:W720943 V786479:W786479 V852015:W852015 V917551:W917551 AD983087:AE983087 AD65583:AE65583 AD131119:AE131119 AD196655:AE196655 AD262191:AE262191 AD327727:AE327727 AD393263:AE393263 AD458799:AE458799 AD524335:AE524335 AD589871:AE589871 AD655407:AE655407 AD720943:AE720943 AD786479:AE786479 AD852015:AE852015 AD917551:AE917551">
      <formula1>kind_of_scheme_in</formula1>
    </dataValidation>
    <dataValidation type="textLength" operator="lessThanOrEqual" allowBlank="1" showInputMessage="1" showErrorMessage="1" errorTitle="Ошибка" error="Допускается ввод не более 900 символов!" sqref="AM65579:AM65586 AM131115:AM131122 AM196651:AM196658 AM262187:AM262194 AM327723:AM327730 AM393259:AM393266 AM458795:AM458802 AM524331:AM524338 AM589867:AM589874 AM655403:AM655410 AM720939:AM720946 AM786475:AM786482 AM852011:AM852018 AM917547:AM917554 AM983083:AM983090">
      <formula1>900</formula1>
    </dataValidation>
    <dataValidation type="list" allowBlank="1" showInputMessage="1" showErrorMessage="1" errorTitle="Ошибка" error="Выберите значение из списка" sqref="T65585 T131121 T196657 T262193 T327729 T393265 T458801 T524337 T589873 T655409 T720945 T786481 T852017 T917553 T983089">
      <formula1>kind_of_heat_transfer</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5 Z131121 Z196657 Z262193 Z327729 Z393265 Z458801 Z524337 Z589873 Z655409 Z720945 Z786481 Z852017 Z917553 Z983089 AB65585 AB131121 AB196657 AB262193 AB327729 AB393265 AB458801 AB524337 AB589873 AB655409 AB720945 AB786481 AB852017 AB917553 AB983089 Z8 AH65585 AH131121 AH196657 AH262193 AH327729 AH393265 AH458801 AH524337 AH589873 AH655409 AH720945 AH786481 AH852017 AH917553 AH983089 AJ65585 AJ131121 AJ196657 AJ262193 AJ327729 AJ393265 AJ458801 AJ524337 AJ589873 AJ655409 AJ720945 AJ786481 AJ852017 AJ917553 AJ983089 AJ49 AH49 AH8 AJ8 AB8 AH17 AJ17 Z49 AB49"/>
    <dataValidation allowBlank="1" showInputMessage="1" showErrorMessage="1" prompt="Для выбора выполните двойной щелчок левой клавиши мыши по соответствующей ячейке." sqref="AA65585 AA131121 AA196657 AA262193 AA327729 AA393265 AA458801 AA524337 AA589873 AA655409 AA720945 AA786481 AA852017 AA917553 AA983089 AC131121 AC458801 AC196657 AC262193 AC327729 AC393265 AC524337 AC589873 AC655409 AC720945 AC786481 AC852017 AC917553 AC983089 AC65585 AI65585 AI131121 AI196657 AI262193 AI327729 AI393265 AI458801 AI524337 AI589873 AI655409 AI720945 AI786481 AI852017 AI917553 AI983089 AK393265 AK49 AK524337 AK8 AK589873 AK655409 AK17 AK720945 AK786481 AK852017 AK917553 AK983089 AK65585 AK131121 AK458801 AI49 AK196657 AI8 AC8 AA8 AI17 AK262193 AA49 AC49 AK327729"/>
    <dataValidation allowBlank="1" promptTitle="checkPeriodRange" sqref="Y65586 Y131122 Y196658 Y262194 Y327730 Y393266 Y458802 Y524338 Y589874 Y655410 Y720946 Y786482 Y852018 Y917554 Y983090 Y9 AG65586 AG131122 AG196658 AG262194 AG327730 AG393266 AG458802 AG524338 AG589874 AG655410 AG720946 AG786482 AG852018 AG917554 AG983090 AG9 AG50 AG18 Y50"/>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E4081568-723C-765F-7118-077FA0E23028}" mc:Ignorable="x14ac xr xr2 xr3">
  <sheetPr>
    <tabColor theme="6" tint="0.4"/>
  </sheetPr>
  <dimension ref="A1:AS66"/>
  <sheetViews>
    <sheetView showGridLines="0" zoomScale="90" workbookViewId="0">
      <pane xSplit="29" ySplit="42" topLeftCell="AD43" activePane="bottomRight" state="frozen"/>
      <selection pane="bottomLeft" activeCell="A43" sqref="A43"/>
      <selection pane="topRight" activeCell="AD1" sqref="AD1"/>
      <selection pane="bottomRight" activeCell="A1" sqref="A1"/>
    </sheetView>
  </sheetViews>
  <sheetFormatPr defaultColWidth="10.57421875" customHeight="1" defaultRowHeight="14.25"/>
  <cols>
    <col min="1" max="1" style="1367" width="10.57421875" hidden="1"/>
    <col min="2" max="2" style="1367" width="11.00390625" hidden="1" customWidth="1"/>
    <col min="3" max="3" style="1367" width="10.57421875" hidden="1"/>
    <col min="4" max="4" style="1367" width="11.8515625" hidden="1" customWidth="1"/>
    <col min="5" max="5" style="1367" width="10.00390625" hidden="1" customWidth="1"/>
    <col min="6" max="6" style="1367" width="8.7109375" hidden="1" customWidth="1"/>
    <col min="7" max="7" style="1367" width="7.57421875" hidden="1" customWidth="1"/>
    <col min="8" max="8" style="1367" width="11.421875" hidden="1" customWidth="1"/>
    <col min="9" max="9" style="1367" width="12.00390625" hidden="1" customWidth="1"/>
    <col min="10" max="10" style="1367" width="9.8515625" hidden="1" customWidth="1"/>
    <col min="11" max="11" style="1367" width="11.421875" hidden="1" customWidth="1"/>
    <col min="12" max="12" style="2608" width="19.140625" hidden="1" customWidth="1"/>
    <col min="13" max="14" style="1777" width="12.28125" hidden="1" customWidth="1"/>
    <col min="15" max="15" style="1777" width="23.421875" hidden="1" customWidth="1"/>
    <col min="16" max="16" style="2398" width="3.7109375" hidden="1" customWidth="1"/>
    <col min="17" max="18" style="345" width="3.00390625" customWidth="1"/>
    <col min="19" max="19" style="2408" width="12.00390625" customWidth="1"/>
    <col min="20" max="20" style="1636" width="31.00390625" customWidth="1"/>
    <col min="21" max="21" style="1636" width="0.140625" customWidth="1"/>
    <col min="22" max="22" style="1636" width="24.7109375" hidden="1" customWidth="1"/>
    <col min="23" max="23" style="1636" width="0.140625" hidden="1" customWidth="1"/>
    <col min="24" max="25" style="1636" width="24.7109375" hidden="1" customWidth="1"/>
    <col min="26" max="26" style="1636" width="11.7109375" hidden="1" customWidth="1"/>
    <col min="27" max="27" style="1636" width="3.7109375" hidden="1" customWidth="1"/>
    <col min="28" max="28" style="1636" width="11.7109375" hidden="1" customWidth="1"/>
    <col min="29" max="29" style="1636" width="8.57421875" hidden="1" customWidth="1"/>
    <col min="30" max="30" style="1636" width="24.7109375" customWidth="1"/>
    <col min="31" max="31" style="1636" width="0.140625" customWidth="1"/>
    <col min="32" max="33" style="1636" width="24.00390625" customWidth="1"/>
    <col min="34" max="34" style="1636" width="11.00390625" customWidth="1"/>
    <col min="35" max="35" style="1636" width="3.7109375" customWidth="1"/>
    <col min="36" max="36" style="1636" width="11.00390625" customWidth="1"/>
    <col min="37" max="37" style="1636" width="8.57421875" hidden="1" customWidth="1"/>
    <col min="38" max="38" style="1636" width="4.00390625" customWidth="1"/>
    <col min="39" max="39" style="1636" width="115.00390625" customWidth="1"/>
    <col min="40" max="44" style="1643" width="10.00390625" customWidth="1"/>
    <col min="45" max="45" style="1636" width="10.57421875" hidden="1"/>
  </cols>
  <sheetData>
    <row customHeight="1" ht="22.5" hidden="1">
      <c r="A1" s="1872"/>
      <c r="Y1" s="328"/>
      <c r="Z1" s="328"/>
      <c r="AG1" s="328"/>
      <c r="AH1" s="328"/>
      <c r="AS1" s="1156" t="s">
        <v>14</v>
      </c>
    </row>
    <row customHeight="1" ht="21" hidden="1">
      <c r="A2" s="1364"/>
      <c r="B2" s="1364"/>
      <c r="C2" s="1364"/>
      <c r="D2" s="1364"/>
      <c r="E2" s="2259">
        <v>1</v>
      </c>
      <c r="F2" s="1364"/>
      <c r="G2" s="1364"/>
      <c r="H2" s="1364"/>
      <c r="I2" s="1364"/>
      <c r="J2" s="1364"/>
      <c r="K2" s="1364"/>
      <c r="L2" s="1365"/>
      <c r="M2" s="1366"/>
      <c r="N2" s="1366"/>
      <c r="O2" s="1366"/>
      <c r="P2" s="362"/>
      <c r="Q2" s="361"/>
      <c r="R2" s="356"/>
      <c r="S2" s="1337">
        <f>INDEX(PT_DIFFERENTIATION_NUM_NTAR,MATCH(A2,PT_DIFFERENTIATION_NTAR_ID,0))</f>
      </c>
      <c r="T2" s="299" t="s">
        <v>131</v>
      </c>
      <c r="U2" s="301"/>
      <c r="V2" s="2243"/>
      <c r="W2" s="2244"/>
      <c r="X2" s="2244"/>
      <c r="Y2" s="2244"/>
      <c r="Z2" s="2244"/>
      <c r="AA2" s="2244"/>
      <c r="AB2" s="2244"/>
      <c r="AC2" s="2245"/>
      <c r="AD2" s="2243">
        <f>INDEX(PT_DIFFERENTIATION_NTAR,MATCH(A2,PT_DIFFERENTIATION_NTAR_ID,0))</f>
      </c>
      <c r="AE2" s="2244"/>
      <c r="AF2" s="2244"/>
      <c r="AG2" s="2244"/>
      <c r="AH2" s="2244"/>
      <c r="AI2" s="2244"/>
      <c r="AJ2" s="2244"/>
      <c r="AK2" s="2244"/>
      <c r="AL2" s="2245"/>
      <c r="AM2" s="1259" t="s">
        <v>413</v>
      </c>
      <c r="AO2" s="501"/>
      <c r="AP2" s="501" t="str">
        <f>IF(T2="","",T2)</f>
        <v>Наименование тарифа</v>
      </c>
      <c r="AQ2" s="501"/>
      <c r="AR2" s="501"/>
      <c r="AS2" s="1156">
        <v>0</v>
      </c>
    </row>
    <row customHeight="1" ht="21" hidden="1">
      <c r="A3" s="1364"/>
      <c r="B3" s="1364"/>
      <c r="C3" s="1364"/>
      <c r="D3" s="1364"/>
      <c r="E3" s="2260"/>
      <c r="F3" s="2259">
        <v>1</v>
      </c>
      <c r="G3" s="1364"/>
      <c r="H3" s="1364"/>
      <c r="I3" s="1364"/>
      <c r="J3" s="1364"/>
      <c r="K3" s="1364"/>
      <c r="L3" s="1365"/>
      <c r="M3" s="1366"/>
      <c r="N3" s="1366"/>
      <c r="O3" s="1366"/>
      <c r="P3" s="1333"/>
      <c r="Q3" s="353"/>
      <c r="R3" s="354"/>
      <c r="S3" s="1337">
        <f>INDEX(PT_DIFFERENTIATION_NUM_TER,MATCH(B3,PT_DIFFERENTIATION_TER_ID,0))</f>
      </c>
      <c r="T3" s="309" t="s">
        <v>414</v>
      </c>
      <c r="U3" s="301"/>
      <c r="V3" s="2243"/>
      <c r="W3" s="2244"/>
      <c r="X3" s="2244"/>
      <c r="Y3" s="2244"/>
      <c r="Z3" s="2244"/>
      <c r="AA3" s="2244"/>
      <c r="AB3" s="2244"/>
      <c r="AC3" s="2245"/>
      <c r="AD3" s="2243">
        <f>INDEX(PT_DIFFERENTIATION_TER,MATCH(B3,PT_DIFFERENTIATION_TER_ID,0))</f>
      </c>
      <c r="AE3" s="2244"/>
      <c r="AF3" s="2244"/>
      <c r="AG3" s="2244"/>
      <c r="AH3" s="2244"/>
      <c r="AI3" s="2244"/>
      <c r="AJ3" s="2244"/>
      <c r="AK3" s="2244"/>
      <c r="AL3" s="2245"/>
      <c r="AM3" s="1259" t="s">
        <v>415</v>
      </c>
      <c r="AO3" s="501"/>
      <c r="AP3" s="501" t="str">
        <f>IF(T3="","",T3)</f>
        <v>Территория действия тарифа</v>
      </c>
      <c r="AQ3" s="501"/>
      <c r="AR3" s="501"/>
      <c r="AS3" s="1156">
        <v>0</v>
      </c>
    </row>
    <row customHeight="1" ht="23.25" hidden="1">
      <c r="A4" s="1364"/>
      <c r="B4" s="1364"/>
      <c r="C4" s="1364"/>
      <c r="D4" s="1364"/>
      <c r="E4" s="2260"/>
      <c r="F4" s="2260"/>
      <c r="G4" s="2259">
        <v>1</v>
      </c>
      <c r="H4" s="1364"/>
      <c r="I4" s="1364"/>
      <c r="J4" s="1364"/>
      <c r="K4" s="1364"/>
      <c r="L4" s="1365"/>
      <c r="M4" s="1366"/>
      <c r="N4" s="1366"/>
      <c r="O4" s="1366"/>
      <c r="P4" s="355"/>
      <c r="Q4" s="353"/>
      <c r="R4" s="354"/>
      <c r="S4" s="2009">
        <f>INDEX(PT_DIFFERENTIATION_NUM_CS,MATCH(C4,PT_DIFFERENTIATION_CS_ID,0))</f>
      </c>
      <c r="T4" s="2013" t="s">
        <v>416</v>
      </c>
      <c r="U4" s="2014"/>
      <c r="V4" s="2301"/>
      <c r="W4" s="2302"/>
      <c r="X4" s="2302"/>
      <c r="Y4" s="2302"/>
      <c r="Z4" s="2302"/>
      <c r="AA4" s="2302"/>
      <c r="AB4" s="2302"/>
      <c r="AC4" s="2303"/>
      <c r="AD4" s="2301">
        <f>INDEX(PT_DIFFERENTIATION_CS,MATCH(C4,PT_DIFFERENTIATION_CS_ID,0))</f>
      </c>
      <c r="AE4" s="2302"/>
      <c r="AF4" s="2302"/>
      <c r="AG4" s="2302"/>
      <c r="AH4" s="2302"/>
      <c r="AI4" s="2302"/>
      <c r="AJ4" s="2302"/>
      <c r="AK4" s="2302"/>
      <c r="AL4" s="2303"/>
      <c r="AM4" s="1259" t="s">
        <v>417</v>
      </c>
      <c r="AO4" s="501"/>
      <c r="AP4" s="501" t="str">
        <f>IF(T4="","",T4)</f>
        <v>Наименование системы теплоснабжения </v>
      </c>
      <c r="AQ4" s="501"/>
      <c r="AR4" s="501"/>
      <c r="AS4" s="1156">
        <v>0</v>
      </c>
    </row>
    <row customHeight="1" ht="21" hidden="1">
      <c r="A5" s="1364"/>
      <c r="B5" s="1364"/>
      <c r="C5" s="1364"/>
      <c r="D5" s="1364"/>
      <c r="E5" s="2260"/>
      <c r="F5" s="2260"/>
      <c r="G5" s="2260"/>
      <c r="H5" s="2259">
        <v>1</v>
      </c>
      <c r="I5" s="1364"/>
      <c r="J5" s="1364"/>
      <c r="K5" s="1364"/>
      <c r="L5" s="1365"/>
      <c r="M5" s="1366"/>
      <c r="N5" s="1366"/>
      <c r="O5" s="1366"/>
      <c r="P5" s="355"/>
      <c r="Q5" s="353"/>
      <c r="R5" s="1636"/>
      <c r="S5" s="2008">
        <f>INDEX(PT_DIFFERENTIATION_NUM_IST_TE,MATCH(D5,PT_DIFFERENTIATION_IST_TE_ID,0))</f>
      </c>
      <c r="T5" s="311" t="s">
        <v>418</v>
      </c>
      <c r="U5" s="301"/>
      <c r="V5" s="2304"/>
      <c r="W5" s="2304"/>
      <c r="X5" s="2304"/>
      <c r="Y5" s="2304"/>
      <c r="Z5" s="2304"/>
      <c r="AA5" s="2304"/>
      <c r="AB5" s="2304"/>
      <c r="AC5" s="2304"/>
      <c r="AD5" s="2304">
        <f>INDEX(PT_DIFFERENTIATION_IST_TE,MATCH(D5,PT_DIFFERENTIATION_IST_TE_ID,0))</f>
      </c>
      <c r="AE5" s="2304"/>
      <c r="AF5" s="2304"/>
      <c r="AG5" s="2304"/>
      <c r="AH5" s="2304"/>
      <c r="AI5" s="2304"/>
      <c r="AJ5" s="2304"/>
      <c r="AK5" s="2304"/>
      <c r="AL5" s="2304"/>
      <c r="AM5" s="2011" t="s">
        <v>419</v>
      </c>
      <c r="AO5" s="501"/>
      <c r="AP5" s="501" t="str">
        <f>IF(T5="","",T5)</f>
        <v>Источник тепловой энергии  </v>
      </c>
      <c r="AQ5" s="501"/>
      <c r="AR5" s="501"/>
      <c r="AS5" s="1156">
        <v>0</v>
      </c>
    </row>
    <row customHeight="1" ht="0.75" hidden="1">
      <c r="A6" s="1364"/>
      <c r="B6" s="1364"/>
      <c r="C6" s="1364"/>
      <c r="D6" s="1364"/>
      <c r="E6" s="2260"/>
      <c r="F6" s="2260"/>
      <c r="G6" s="2260"/>
      <c r="H6" s="2260"/>
      <c r="I6" s="2257">
        <f>S5&amp;".1"</f>
      </c>
      <c r="J6" s="1364"/>
      <c r="K6" s="1364"/>
      <c r="L6" s="1365" t="s">
        <v>420</v>
      </c>
      <c r="M6" s="538"/>
      <c r="P6" s="2258">
        <v>1</v>
      </c>
      <c r="Q6" s="1332"/>
      <c r="R6" s="2007"/>
      <c r="S6" s="1043"/>
      <c r="T6" s="1384"/>
      <c r="U6" s="1385"/>
      <c r="V6" s="2305"/>
      <c r="W6" s="2305"/>
      <c r="X6" s="2305"/>
      <c r="Y6" s="2305"/>
      <c r="Z6" s="2305"/>
      <c r="AA6" s="2305"/>
      <c r="AB6" s="2305"/>
      <c r="AC6" s="2305"/>
      <c r="AD6" s="2305"/>
      <c r="AE6" s="2305"/>
      <c r="AF6" s="2305"/>
      <c r="AG6" s="2305"/>
      <c r="AH6" s="2305"/>
      <c r="AI6" s="2305"/>
      <c r="AJ6" s="2305"/>
      <c r="AK6" s="2305"/>
      <c r="AL6" s="2305"/>
      <c r="AM6" s="2012"/>
      <c r="AO6" s="501"/>
      <c r="AP6" s="501" t="str">
        <f>IF(T6="","",T6)</f>
        <v/>
      </c>
      <c r="AQ6" s="501"/>
      <c r="AR6" s="501"/>
      <c r="AS6" s="1156">
        <v>0</v>
      </c>
    </row>
    <row customHeight="1" ht="84" hidden="1">
      <c r="A7" s="1364"/>
      <c r="B7" s="1364"/>
      <c r="C7" s="1364"/>
      <c r="D7" s="1364"/>
      <c r="E7" s="2260"/>
      <c r="F7" s="2260"/>
      <c r="G7" s="2260"/>
      <c r="H7" s="2260"/>
      <c r="I7" s="2287"/>
      <c r="J7" s="2257">
        <f>I6&amp;".1"</f>
      </c>
      <c r="K7" s="1364"/>
      <c r="L7" s="1365" t="s">
        <v>423</v>
      </c>
      <c r="M7" s="538"/>
      <c r="N7" s="1367"/>
      <c r="P7" s="2258"/>
      <c r="Q7" s="2258">
        <v>1</v>
      </c>
      <c r="R7" s="1643"/>
      <c r="S7" s="2008">
        <f>$J7</f>
      </c>
      <c r="T7" s="287" t="s">
        <v>424</v>
      </c>
      <c r="U7" s="301"/>
      <c r="V7" s="2306"/>
      <c r="W7" s="2306"/>
      <c r="X7" s="2306"/>
      <c r="Y7" s="2306"/>
      <c r="Z7" s="2306"/>
      <c r="AA7" s="2306"/>
      <c r="AB7" s="2306"/>
      <c r="AC7" s="2306"/>
      <c r="AD7" s="2306"/>
      <c r="AE7" s="2306"/>
      <c r="AF7" s="2306"/>
      <c r="AG7" s="2306"/>
      <c r="AH7" s="2306"/>
      <c r="AI7" s="2306"/>
      <c r="AJ7" s="2306"/>
      <c r="AK7" s="2306"/>
      <c r="AL7" s="2306"/>
      <c r="AM7" s="2011" t="s">
        <v>425</v>
      </c>
      <c r="AO7" s="501"/>
      <c r="AP7" s="501" t="str">
        <f>IF(T7="","",T7)</f>
        <v>Группа потребителей</v>
      </c>
      <c r="AQ7" s="501"/>
      <c r="AR7" s="501"/>
      <c r="AS7" s="1156">
        <v>0</v>
      </c>
    </row>
    <row customHeight="1" ht="11.25" hidden="1">
      <c r="A8" s="1364"/>
      <c r="B8" s="1364"/>
      <c r="C8" s="1364"/>
      <c r="D8" s="1364"/>
      <c r="E8" s="2260"/>
      <c r="F8" s="2260"/>
      <c r="G8" s="2260"/>
      <c r="H8" s="2260"/>
      <c r="I8" s="2287"/>
      <c r="J8" s="2287"/>
      <c r="K8" s="2257">
        <f>J7&amp;".1"</f>
      </c>
      <c r="L8" s="1365" t="s">
        <v>426</v>
      </c>
      <c r="M8" s="538"/>
      <c r="N8" s="1367"/>
      <c r="O8" s="1367"/>
      <c r="P8" s="2258"/>
      <c r="Q8" s="2258"/>
      <c r="R8" s="358">
        <v>1</v>
      </c>
      <c r="S8" s="2010">
        <f>$K8</f>
      </c>
      <c r="T8" s="2015"/>
      <c r="U8" s="2016"/>
      <c r="V8" s="2017"/>
      <c r="W8" s="1350"/>
      <c r="X8" s="2017"/>
      <c r="Y8" s="2018"/>
      <c r="Z8" s="2307"/>
      <c r="AA8" s="2113" t="s">
        <v>61</v>
      </c>
      <c r="AB8" s="2307"/>
      <c r="AC8" s="2113" t="s">
        <v>61</v>
      </c>
      <c r="AD8" s="2017"/>
      <c r="AE8" s="1350"/>
      <c r="AF8" s="2017"/>
      <c r="AG8" s="2018"/>
      <c r="AH8" s="2307"/>
      <c r="AI8" s="2113" t="s">
        <v>61</v>
      </c>
      <c r="AJ8" s="2307"/>
      <c r="AK8" s="2113" t="s">
        <v>61</v>
      </c>
      <c r="AL8" s="1350"/>
      <c r="AM8" s="2254" t="s">
        <v>427</v>
      </c>
      <c r="AN8" s="512">
        <f>STRCHECKDATE(V9:AL9)</f>
      </c>
      <c r="AO8" s="501"/>
      <c r="AP8" s="501" t="str">
        <f>IF(T8="","",T8)</f>
        <v/>
      </c>
      <c r="AQ8" s="501"/>
      <c r="AR8" s="501"/>
      <c r="AS8" s="1156">
        <v>0</v>
      </c>
    </row>
    <row customHeight="1" ht="0.75" hidden="1">
      <c r="A9" s="1364"/>
      <c r="B9" s="1364"/>
      <c r="C9" s="1364"/>
      <c r="D9" s="1364"/>
      <c r="E9" s="2260"/>
      <c r="F9" s="2260"/>
      <c r="G9" s="2260"/>
      <c r="H9" s="2260"/>
      <c r="I9" s="2287"/>
      <c r="J9" s="2287"/>
      <c r="K9" s="2257"/>
      <c r="L9" s="1365"/>
      <c r="M9" s="538"/>
      <c r="N9" s="1367"/>
      <c r="O9" s="1367"/>
      <c r="P9" s="2258"/>
      <c r="Q9" s="2258"/>
      <c r="R9" s="358"/>
      <c r="S9" s="1343"/>
      <c r="T9" s="301"/>
      <c r="U9" s="301"/>
      <c r="V9" s="326"/>
      <c r="W9" s="326"/>
      <c r="X9" s="326"/>
      <c r="Y9" s="329" t="str">
        <f>Z8&amp;"-"&amp;AB8</f>
        <v>-</v>
      </c>
      <c r="Z9" s="2267"/>
      <c r="AA9" s="2108"/>
      <c r="AB9" s="2267"/>
      <c r="AC9" s="2108"/>
      <c r="AD9" s="326"/>
      <c r="AE9" s="326"/>
      <c r="AF9" s="326"/>
      <c r="AG9" s="329" t="str">
        <f>AH8&amp;"-"&amp;AJ8</f>
        <v>-</v>
      </c>
      <c r="AH9" s="2267"/>
      <c r="AI9" s="2108"/>
      <c r="AJ9" s="2267"/>
      <c r="AK9" s="2108"/>
      <c r="AL9" s="326"/>
      <c r="AM9" s="2255"/>
      <c r="AO9" s="501"/>
      <c r="AP9" s="501" t="str">
        <f>IF(T9="","",T9)</f>
        <v/>
      </c>
      <c r="AQ9" s="501"/>
      <c r="AR9" s="501"/>
      <c r="AS9" s="1156">
        <v>0</v>
      </c>
    </row>
    <row customHeight="1" ht="11.25" hidden="1">
      <c r="A10" s="1364"/>
      <c r="B10" s="1364"/>
      <c r="C10" s="1364"/>
      <c r="D10" s="1364"/>
      <c r="E10" s="2260"/>
      <c r="F10" s="2260"/>
      <c r="G10" s="2260"/>
      <c r="H10" s="2260"/>
      <c r="I10" s="2287"/>
      <c r="J10" s="2257"/>
      <c r="K10" s="1364"/>
      <c r="L10" s="1365"/>
      <c r="M10" s="538"/>
      <c r="N10" s="1367"/>
      <c r="P10" s="2258"/>
      <c r="Q10" s="2258"/>
      <c r="R10" s="357"/>
      <c r="S10" s="1279"/>
      <c r="T10" s="288" t="s">
        <v>428</v>
      </c>
      <c r="U10" s="368"/>
      <c r="V10" s="368"/>
      <c r="W10" s="368"/>
      <c r="X10" s="368"/>
      <c r="Y10" s="368"/>
      <c r="Z10" s="368"/>
      <c r="AA10" s="368"/>
      <c r="AB10" s="368"/>
      <c r="AC10" s="368"/>
      <c r="AD10" s="368"/>
      <c r="AE10" s="368"/>
      <c r="AF10" s="368"/>
      <c r="AG10" s="368"/>
      <c r="AH10" s="368"/>
      <c r="AI10" s="368"/>
      <c r="AJ10" s="368"/>
      <c r="AK10" s="368"/>
      <c r="AL10" s="325"/>
      <c r="AM10" s="2256"/>
      <c r="AO10" s="501"/>
      <c r="AP10" s="501" t="str">
        <f>IF(T10="","",T10)</f>
        <v>Добавить вид теплоносителя (параметры теплоносителя)</v>
      </c>
      <c r="AQ10" s="501"/>
      <c r="AR10" s="501"/>
      <c r="AS10" s="1156">
        <v>0</v>
      </c>
    </row>
    <row customHeight="1" ht="11.25" hidden="1">
      <c r="A11" s="1364"/>
      <c r="B11" s="1364"/>
      <c r="C11" s="1364"/>
      <c r="D11" s="1364"/>
      <c r="E11" s="2260"/>
      <c r="F11" s="2260"/>
      <c r="G11" s="2260"/>
      <c r="H11" s="2260"/>
      <c r="I11" s="2257"/>
      <c r="J11" s="1364"/>
      <c r="K11" s="1364"/>
      <c r="L11" s="1365"/>
      <c r="M11" s="538"/>
      <c r="P11" s="2258"/>
      <c r="Q11" s="1332"/>
      <c r="R11" s="357"/>
      <c r="S11" s="1279"/>
      <c r="T11" s="366" t="s">
        <v>429</v>
      </c>
      <c r="U11" s="368"/>
      <c r="V11" s="368"/>
      <c r="W11" s="368"/>
      <c r="X11" s="368"/>
      <c r="Y11" s="368"/>
      <c r="Z11" s="368"/>
      <c r="AA11" s="368"/>
      <c r="AB11" s="368"/>
      <c r="AC11" s="367"/>
      <c r="AD11" s="368"/>
      <c r="AE11" s="368"/>
      <c r="AF11" s="368"/>
      <c r="AG11" s="368"/>
      <c r="AH11" s="368"/>
      <c r="AI11" s="368"/>
      <c r="AJ11" s="368"/>
      <c r="AK11" s="367"/>
      <c r="AL11" s="368"/>
      <c r="AM11" s="304"/>
      <c r="AO11" s="501"/>
      <c r="AP11" s="501" t="str">
        <f>IF(T11="","",T11)</f>
        <v>Добавить группу потребителей</v>
      </c>
      <c r="AQ11" s="501"/>
      <c r="AR11" s="501"/>
      <c r="AS11" s="1156">
        <v>0</v>
      </c>
    </row>
    <row customHeight="1" ht="0.75" hidden="1">
      <c r="A12" s="1364"/>
      <c r="B12" s="1364"/>
      <c r="C12" s="1364"/>
      <c r="D12" s="1364"/>
      <c r="E12" s="2260"/>
      <c r="F12" s="2260"/>
      <c r="G12" s="2260"/>
      <c r="H12" s="2259"/>
      <c r="I12" s="1364"/>
      <c r="J12" s="1364"/>
      <c r="K12" s="1364"/>
      <c r="L12" s="1365"/>
      <c r="M12" s="1366"/>
      <c r="N12" s="1366"/>
      <c r="O12" s="538"/>
      <c r="P12" s="361"/>
      <c r="Q12" s="376"/>
      <c r="R12" s="356"/>
      <c r="S12" s="1387"/>
      <c r="T12" s="1388"/>
      <c r="U12" s="1389"/>
      <c r="V12" s="1389"/>
      <c r="W12" s="1389"/>
      <c r="X12" s="1389"/>
      <c r="Y12" s="1389"/>
      <c r="Z12" s="1389"/>
      <c r="AA12" s="1389"/>
      <c r="AB12" s="1389"/>
      <c r="AC12" s="1389"/>
      <c r="AD12" s="1389"/>
      <c r="AE12" s="1389"/>
      <c r="AF12" s="1389"/>
      <c r="AG12" s="1389"/>
      <c r="AH12" s="1389"/>
      <c r="AI12" s="1389"/>
      <c r="AJ12" s="1389"/>
      <c r="AK12" s="1389"/>
      <c r="AL12" s="1389"/>
      <c r="AM12" s="1390"/>
      <c r="AO12" s="501"/>
      <c r="AP12" s="501" t="str">
        <f>IF(T12="","",T12)</f>
        <v/>
      </c>
      <c r="AQ12" s="501"/>
      <c r="AR12" s="501"/>
      <c r="AS12" s="1156">
        <v>0</v>
      </c>
    </row>
    <row s="1643" customFormat="1" customHeight="1" ht="0.75" hidden="1">
      <c r="A13" s="1315"/>
      <c r="B13" s="1315"/>
      <c r="C13" s="1315"/>
      <c r="D13" s="1315"/>
      <c r="E13" s="2260"/>
      <c r="F13" s="2260"/>
      <c r="G13" s="2259"/>
      <c r="H13" s="1315"/>
      <c r="I13" s="1315"/>
      <c r="J13" s="1315"/>
      <c r="K13" s="1315"/>
      <c r="L13" s="1340"/>
      <c r="M13" s="1316"/>
      <c r="N13" s="1316"/>
      <c r="P13" s="1317"/>
      <c r="Q13" s="1318"/>
      <c r="R13" s="1317"/>
      <c r="S13" s="1319"/>
      <c r="T13" s="1320" t="s">
        <v>176</v>
      </c>
      <c r="U13" s="1321"/>
      <c r="V13" s="1321"/>
      <c r="W13" s="1321"/>
      <c r="X13" s="1321"/>
      <c r="Y13" s="1321"/>
      <c r="Z13" s="1321"/>
      <c r="AA13" s="1321"/>
      <c r="AB13" s="1321"/>
      <c r="AC13" s="1321"/>
      <c r="AD13" s="1321"/>
      <c r="AE13" s="1321"/>
      <c r="AF13" s="1321"/>
      <c r="AG13" s="1321"/>
      <c r="AH13" s="1321"/>
      <c r="AI13" s="1321"/>
      <c r="AJ13" s="1321"/>
      <c r="AK13" s="1321"/>
      <c r="AL13" s="1321"/>
      <c r="AM13" s="1321"/>
      <c r="AO13" s="790"/>
      <c r="AP13" s="790" t="str">
        <f>IF(T13="","",T13)</f>
        <v>Добавить источник для дифференциации</v>
      </c>
      <c r="AQ13" s="790"/>
      <c r="AR13" s="790"/>
      <c r="AS13" s="519">
        <v>0</v>
      </c>
    </row>
    <row s="1643" customFormat="1" customHeight="1" ht="0.75" hidden="1">
      <c r="A14" s="1315"/>
      <c r="B14" s="1315"/>
      <c r="C14" s="1315"/>
      <c r="D14" s="1315"/>
      <c r="E14" s="2260"/>
      <c r="F14" s="2259"/>
      <c r="G14" s="1315"/>
      <c r="H14" s="1315"/>
      <c r="I14" s="1315"/>
      <c r="J14" s="1315"/>
      <c r="K14" s="1315"/>
      <c r="L14" s="1340"/>
      <c r="M14" s="1322"/>
      <c r="N14" s="1322"/>
      <c r="P14" s="1317"/>
      <c r="Q14" s="1318"/>
      <c r="R14" s="1317"/>
      <c r="S14" s="1323"/>
      <c r="T14" s="1324" t="s">
        <v>177</v>
      </c>
      <c r="U14" s="1325"/>
      <c r="V14" s="1325"/>
      <c r="W14" s="1325"/>
      <c r="X14" s="1325"/>
      <c r="Y14" s="1325"/>
      <c r="Z14" s="1325"/>
      <c r="AA14" s="1325"/>
      <c r="AB14" s="1325"/>
      <c r="AC14" s="1325"/>
      <c r="AD14" s="1325"/>
      <c r="AE14" s="1325"/>
      <c r="AF14" s="1325"/>
      <c r="AG14" s="1325"/>
      <c r="AH14" s="1325"/>
      <c r="AI14" s="1325"/>
      <c r="AJ14" s="1325"/>
      <c r="AK14" s="1325"/>
      <c r="AL14" s="1325"/>
      <c r="AM14" s="1325"/>
      <c r="AO14" s="790"/>
      <c r="AP14" s="790" t="str">
        <f>IF(T14="","",T14)</f>
        <v>Добавить централизованную систему для дифференциации</v>
      </c>
      <c r="AQ14" s="790"/>
      <c r="AR14" s="790"/>
      <c r="AS14" s="519">
        <v>0</v>
      </c>
    </row>
    <row s="1643" customFormat="1" customHeight="1" ht="0.75" hidden="1">
      <c r="A15" s="1315"/>
      <c r="B15" s="1315"/>
      <c r="C15" s="1315"/>
      <c r="D15" s="1315"/>
      <c r="E15" s="2259"/>
      <c r="F15" s="1315"/>
      <c r="G15" s="1315"/>
      <c r="H15" s="1315"/>
      <c r="I15" s="1315"/>
      <c r="J15" s="1315"/>
      <c r="K15" s="1315"/>
      <c r="L15" s="1340"/>
      <c r="M15" s="1322"/>
      <c r="N15" s="1322"/>
      <c r="P15" s="1317"/>
      <c r="Q15" s="1318"/>
      <c r="R15" s="1317"/>
      <c r="S15" s="1323"/>
      <c r="T15" s="1326" t="s">
        <v>178</v>
      </c>
      <c r="U15" s="1325"/>
      <c r="V15" s="1325"/>
      <c r="W15" s="1325"/>
      <c r="X15" s="1325"/>
      <c r="Y15" s="1325"/>
      <c r="Z15" s="1325"/>
      <c r="AA15" s="1325"/>
      <c r="AB15" s="1325"/>
      <c r="AC15" s="1325"/>
      <c r="AD15" s="1325"/>
      <c r="AE15" s="1325"/>
      <c r="AF15" s="1325"/>
      <c r="AG15" s="1325"/>
      <c r="AH15" s="1325"/>
      <c r="AI15" s="1325"/>
      <c r="AJ15" s="1325"/>
      <c r="AK15" s="1325"/>
      <c r="AL15" s="1325"/>
      <c r="AM15" s="1325"/>
      <c r="AO15" s="790"/>
      <c r="AP15" s="790" t="str">
        <f>IF(T15="","",T15)</f>
        <v>Добавить территорию для дифференциации</v>
      </c>
      <c r="AQ15" s="790"/>
      <c r="AR15" s="790"/>
      <c r="AS15" s="519">
        <v>0</v>
      </c>
    </row>
    <row customHeight="1" ht="14.25" hidden="1">
      <c r="AC16" s="328"/>
      <c r="AK16" s="328"/>
      <c r="AS16" s="1156">
        <v>0</v>
      </c>
    </row>
    <row customHeight="1" ht="14.25" hidden="1">
      <c r="AD17" s="1361"/>
      <c r="AE17" s="1361"/>
      <c r="AF17" s="1361"/>
      <c r="AG17" s="1362"/>
      <c r="AH17" s="2268"/>
      <c r="AI17" s="2269" t="s">
        <v>61</v>
      </c>
      <c r="AJ17" s="2268"/>
      <c r="AK17" s="2269" t="s">
        <v>61</v>
      </c>
      <c r="AS17" s="1156">
        <v>0</v>
      </c>
    </row>
    <row customHeight="1" ht="14.25" hidden="1">
      <c r="AD18" s="1361"/>
      <c r="AE18" s="1361"/>
      <c r="AF18" s="1361"/>
      <c r="AG18" s="329" t="str">
        <f>AH17&amp;"-"&amp;AJ17</f>
        <v>-</v>
      </c>
      <c r="AH18" s="2269"/>
      <c r="AI18" s="2269"/>
      <c r="AJ18" s="2269"/>
      <c r="AK18" s="2269"/>
      <c r="AS18" s="1156">
        <v>0</v>
      </c>
    </row>
    <row customHeight="1" ht="14.25" hidden="1">
      <c r="AK19" s="328"/>
      <c r="AS19" s="1156">
        <v>0</v>
      </c>
    </row>
    <row s="1367" customFormat="1" customHeight="1" ht="22.5" hidden="1">
      <c r="L20" s="1330"/>
      <c r="M20" s="1363"/>
      <c r="N20" s="1363"/>
      <c r="O20" s="1368" t="s">
        <v>431</v>
      </c>
      <c r="P20" s="1363"/>
      <c r="Q20" s="1372"/>
      <c r="R20" s="1372"/>
      <c r="S20" s="730"/>
      <c r="Z20" s="1368"/>
      <c r="AB20" s="1368"/>
      <c r="AC20" s="1367"/>
      <c r="AH20" s="1368"/>
      <c r="AJ20" s="1368"/>
      <c r="AK20" s="1367"/>
      <c r="AN20" s="512"/>
      <c r="AO20" s="512"/>
      <c r="AP20" s="512"/>
      <c r="AQ20" s="512"/>
      <c r="AR20" s="512"/>
      <c r="AS20" s="1161">
        <v>0</v>
      </c>
    </row>
    <row s="1367" customFormat="1" customHeight="1" ht="14.25" hidden="1">
      <c r="L21" s="1330"/>
      <c r="M21" s="1363"/>
      <c r="N21" s="1363"/>
      <c r="O21" s="1363"/>
      <c r="P21" s="1363"/>
      <c r="Q21" s="1372"/>
      <c r="R21" s="1372"/>
      <c r="S21" s="730"/>
      <c r="AC21" s="1367"/>
      <c r="AK21" s="1367"/>
      <c r="AN21" s="512"/>
      <c r="AO21" s="512"/>
      <c r="AP21" s="512"/>
      <c r="AQ21" s="512"/>
      <c r="AR21" s="512"/>
      <c r="AS21" s="1161">
        <v>0</v>
      </c>
    </row>
    <row s="1367" customFormat="1" customHeight="1" ht="14.25" hidden="1">
      <c r="L22" s="1330"/>
      <c r="M22" s="1363"/>
      <c r="N22" s="1363"/>
      <c r="O22" s="1365" t="s">
        <v>432</v>
      </c>
      <c r="P22" s="1363"/>
      <c r="Q22" s="1372"/>
      <c r="R22" s="1372"/>
      <c r="S22" s="730"/>
      <c r="T22" s="1161" t="s">
        <v>433</v>
      </c>
      <c r="AA22" s="187" t="s">
        <v>434</v>
      </c>
      <c r="AC22" s="187" t="s">
        <v>435</v>
      </c>
      <c r="AD22" s="1161" t="s">
        <v>433</v>
      </c>
      <c r="AI22" s="187" t="s">
        <v>436</v>
      </c>
      <c r="AK22" s="187" t="s">
        <v>435</v>
      </c>
      <c r="AN22" s="512"/>
      <c r="AO22" s="512"/>
      <c r="AP22" s="512"/>
      <c r="AQ22" s="512"/>
      <c r="AR22" s="512"/>
      <c r="AS22" s="1161">
        <v>0</v>
      </c>
    </row>
    <row customHeight="1" ht="14.25" hidden="1">
      <c r="O23" s="1365"/>
      <c r="AS23" s="1156">
        <v>0</v>
      </c>
    </row>
    <row customHeight="1" ht="14.25" hidden="1">
      <c r="O24" s="1365"/>
      <c r="AS24" s="1156">
        <v>0</v>
      </c>
    </row>
    <row customHeight="1" ht="14.699999999999998">
      <c r="Q25" s="377"/>
      <c r="R25" s="377"/>
      <c r="S25" s="1276"/>
      <c r="T25" s="364"/>
      <c r="U25" s="364"/>
      <c r="V25" s="510"/>
      <c r="W25" s="510"/>
      <c r="X25" s="510"/>
      <c r="Y25" s="510"/>
      <c r="Z25" s="510"/>
      <c r="AA25" s="510"/>
      <c r="AB25" s="510"/>
      <c r="AC25" s="510"/>
      <c r="AD25" s="510"/>
      <c r="AE25" s="510"/>
      <c r="AF25" s="510"/>
      <c r="AG25" s="510"/>
      <c r="AH25" s="510"/>
      <c r="AI25" s="510"/>
      <c r="AJ25" s="510"/>
      <c r="AK25" s="510"/>
      <c r="AS25" s="1156">
        <v>14</v>
      </c>
    </row>
    <row customHeight="1" ht="54.75">
      <c r="Q26" s="377"/>
      <c r="R26" s="377"/>
      <c r="S26" s="2308" t="str">
        <f>IF(TEMPLATE_GROUP="P",PT_P_FORM_HEAT_5_NAME_FORM,PT_R_FORM_HEAT_22_NAME_FORM)</f>
        <v>Форма 20. Информация о предложении регулируемой организации о расчетной величине тарифов на теплоноситель, поставляемый теплоснабжающими организациями потребителям, другим теплоснабжающим организациям, тарифов на услуги по передаче тепловой энергии, теплоносителя, о расчетной величине тарифов на теплоноситель в виде воды, поставляемый другим теплоснабжающим организациям в ценовых зонах теплоснабжения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v>
      </c>
      <c r="T26" s="2308"/>
      <c r="U26" s="2308"/>
      <c r="V26" s="2308"/>
      <c r="W26" s="2308"/>
      <c r="X26" s="2308"/>
      <c r="Y26" s="2308"/>
      <c r="Z26" s="2308"/>
      <c r="AA26" s="2308"/>
      <c r="AB26" s="2308"/>
      <c r="AC26" s="2308"/>
      <c r="AD26" s="2308"/>
      <c r="AE26" s="2308"/>
      <c r="AF26" s="2308"/>
      <c r="AG26" s="2308"/>
      <c r="AH26" s="2308"/>
      <c r="AI26" s="2308"/>
      <c r="AJ26" s="2308"/>
      <c r="AK26" s="1244"/>
      <c r="AS26" s="1156">
        <v>52</v>
      </c>
    </row>
    <row customHeight="1" ht="14.699999999999998">
      <c r="Q27" s="377"/>
      <c r="R27" s="377"/>
      <c r="S27" s="2250" t="str">
        <f>IF(org=0,"Не определено",org)</f>
        <v>ПАО "КГК"</v>
      </c>
      <c r="T27" s="2250"/>
      <c r="U27" s="2250"/>
      <c r="V27" s="2250"/>
      <c r="W27" s="2250"/>
      <c r="X27" s="2250"/>
      <c r="Y27" s="2250"/>
      <c r="Z27" s="2250"/>
      <c r="AA27" s="2250"/>
      <c r="AB27" s="2250"/>
      <c r="AC27" s="2250"/>
      <c r="AD27" s="2250"/>
      <c r="AE27" s="2250"/>
      <c r="AF27" s="2250"/>
      <c r="AG27" s="2250"/>
      <c r="AH27" s="2250"/>
      <c r="AI27" s="2250"/>
      <c r="AJ27" s="2250"/>
      <c r="AK27" s="1244"/>
      <c r="AS27" s="1156">
        <v>14</v>
      </c>
    </row>
    <row customHeight="1" ht="14.25" hidden="1">
      <c r="Q28" s="377"/>
      <c r="R28" s="377"/>
      <c r="S28" s="1276"/>
      <c r="T28" s="364"/>
      <c r="U28" s="364"/>
      <c r="V28" s="323"/>
      <c r="W28" s="323"/>
      <c r="X28" s="323"/>
      <c r="Y28" s="323"/>
      <c r="Z28" s="323"/>
      <c r="AA28" s="323"/>
      <c r="AB28" s="323"/>
      <c r="AC28" s="323"/>
      <c r="AD28" s="323"/>
      <c r="AE28" s="323"/>
      <c r="AF28" s="323"/>
      <c r="AG28" s="323"/>
      <c r="AH28" s="323"/>
      <c r="AI28" s="323"/>
      <c r="AJ28" s="323"/>
      <c r="AK28" s="323"/>
      <c r="AL28" s="510"/>
      <c r="AS28" s="1156">
        <v>0</v>
      </c>
    </row>
    <row s="1854" customFormat="1" customHeight="1" ht="25.5" hidden="1">
      <c r="A29" s="1369"/>
      <c r="B29" s="1369"/>
      <c r="C29" s="1369"/>
      <c r="D29" s="1369"/>
      <c r="E29" s="1369"/>
      <c r="F29" s="1369"/>
      <c r="G29" s="1369"/>
      <c r="H29" s="1369"/>
      <c r="I29" s="1369"/>
      <c r="J29" s="1369"/>
      <c r="K29" s="1369"/>
      <c r="L29" s="1370"/>
      <c r="M29" s="1369"/>
      <c r="N29" s="1369"/>
      <c r="O29" s="1369"/>
      <c r="S29" s="2251" t="s">
        <v>42</v>
      </c>
      <c r="T29" s="2251"/>
      <c r="U29" s="1373"/>
      <c r="V29" s="2252" t="str">
        <f>IF(TITLE_NAME_OR_PR_CHANGE="",IF(TITLE_NAME_OR_PR="","",TITLE_NAME_OR_PR),TITLE_NAME_OR_PR_CHANGE)</f>
        <v/>
      </c>
      <c r="W29" s="2252"/>
      <c r="X29" s="2252"/>
      <c r="Y29" s="2252"/>
      <c r="Z29" s="2252"/>
      <c r="AA29" s="2252"/>
      <c r="AB29" s="2252"/>
      <c r="AC29" s="327"/>
      <c r="AD29" s="2252" t="str">
        <f>IF(TITLE_NAME_OR_PR_CHANGE="",IF(TITLE_NAME_OR_PR="","",TITLE_NAME_OR_PR),TITLE_NAME_OR_PR_CHANGE)</f>
        <v/>
      </c>
      <c r="AE29" s="2252"/>
      <c r="AF29" s="2252"/>
      <c r="AG29" s="2252"/>
      <c r="AH29" s="2252"/>
      <c r="AI29" s="2252"/>
      <c r="AJ29" s="2252"/>
      <c r="AK29" s="327"/>
      <c r="AL29" s="327"/>
      <c r="AM29" s="281"/>
      <c r="AN29" s="369"/>
      <c r="AO29" s="369"/>
      <c r="AP29" s="369"/>
      <c r="AQ29" s="369"/>
      <c r="AR29" s="369"/>
      <c r="AS29" s="419">
        <v>0</v>
      </c>
    </row>
    <row s="1854" customFormat="1" customHeight="1" ht="18.75" hidden="1">
      <c r="A30" s="1369"/>
      <c r="B30" s="1369"/>
      <c r="C30" s="1369"/>
      <c r="D30" s="1369"/>
      <c r="E30" s="1369"/>
      <c r="F30" s="1369"/>
      <c r="G30" s="1369"/>
      <c r="H30" s="1369"/>
      <c r="I30" s="1369"/>
      <c r="J30" s="1369"/>
      <c r="K30" s="1369"/>
      <c r="L30" s="1370"/>
      <c r="M30" s="1369"/>
      <c r="N30" s="1369"/>
      <c r="O30" s="1369"/>
      <c r="S30" s="2251" t="s">
        <v>437</v>
      </c>
      <c r="T30" s="2251"/>
      <c r="U30" s="1373"/>
      <c r="V30" s="2265" t="str">
        <f>IF(TITLE_DATE_PR_CHANGE="",IF(TITLE_DATE_PR="","",TITLE_DATE_PR),TITLE_DATE_PR_CHANGE)</f>
        <v>46142</v>
      </c>
      <c r="W30" s="2265"/>
      <c r="X30" s="2265"/>
      <c r="Y30" s="2265"/>
      <c r="Z30" s="2265"/>
      <c r="AA30" s="2265"/>
      <c r="AB30" s="2265"/>
      <c r="AC30" s="327"/>
      <c r="AD30" s="2265" t="str">
        <f>IF(TITLE_DATE_PR_CHANGE="",IF(TITLE_DATE_PR="","",TITLE_DATE_PR),TITLE_DATE_PR_CHANGE)</f>
        <v>46142</v>
      </c>
      <c r="AE30" s="2265"/>
      <c r="AF30" s="2265"/>
      <c r="AG30" s="2265"/>
      <c r="AH30" s="2265"/>
      <c r="AI30" s="2265"/>
      <c r="AJ30" s="2265"/>
      <c r="AK30" s="327"/>
      <c r="AL30" s="327"/>
      <c r="AM30" s="281"/>
      <c r="AN30" s="369"/>
      <c r="AO30" s="369"/>
      <c r="AP30" s="369"/>
      <c r="AQ30" s="369"/>
      <c r="AR30" s="369"/>
      <c r="AS30" s="419">
        <v>0</v>
      </c>
    </row>
    <row s="1854" customFormat="1" customHeight="1" ht="18.75" hidden="1">
      <c r="A31" s="1369"/>
      <c r="B31" s="1369"/>
      <c r="C31" s="1369"/>
      <c r="D31" s="1369"/>
      <c r="E31" s="1369"/>
      <c r="F31" s="1369"/>
      <c r="G31" s="1369"/>
      <c r="H31" s="1369"/>
      <c r="I31" s="1369"/>
      <c r="J31" s="1369"/>
      <c r="K31" s="1369"/>
      <c r="L31" s="1370"/>
      <c r="M31" s="1369"/>
      <c r="N31" s="1369"/>
      <c r="O31" s="1369"/>
      <c r="S31" s="2251" t="s">
        <v>438</v>
      </c>
      <c r="T31" s="2251"/>
      <c r="U31" s="1373"/>
      <c r="V31" s="2252" t="str">
        <f>IF(TITLE_NUMBER_PR_CHANGE="",IF(TITLE_NUMBER_PR="","",TITLE_NUMBER_PR),TITLE_NUMBER_PR_CHANGE)</f>
        <v>206Т</v>
      </c>
      <c r="W31" s="2252"/>
      <c r="X31" s="2252"/>
      <c r="Y31" s="2252"/>
      <c r="Z31" s="2252"/>
      <c r="AA31" s="2252"/>
      <c r="AB31" s="2252"/>
      <c r="AC31" s="327"/>
      <c r="AD31" s="2252" t="str">
        <f>IF(TITLE_NUMBER_PR_CHANGE="",IF(TITLE_NUMBER_PR="","",TITLE_NUMBER_PR),TITLE_NUMBER_PR_CHANGE)</f>
        <v>206Т</v>
      </c>
      <c r="AE31" s="2252"/>
      <c r="AF31" s="2252"/>
      <c r="AG31" s="2252"/>
      <c r="AH31" s="2252"/>
      <c r="AI31" s="2252"/>
      <c r="AJ31" s="2252"/>
      <c r="AK31" s="327"/>
      <c r="AL31" s="327"/>
      <c r="AM31" s="281"/>
      <c r="AN31" s="369"/>
      <c r="AO31" s="369"/>
      <c r="AP31" s="369"/>
      <c r="AQ31" s="369"/>
      <c r="AR31" s="369"/>
      <c r="AS31" s="419">
        <v>0</v>
      </c>
    </row>
    <row s="1854" customFormat="1" customHeight="1" ht="18.75" hidden="1">
      <c r="A32" s="1369"/>
      <c r="B32" s="1369"/>
      <c r="C32" s="1369"/>
      <c r="D32" s="1369"/>
      <c r="E32" s="1369"/>
      <c r="F32" s="1369"/>
      <c r="G32" s="1369"/>
      <c r="H32" s="1369"/>
      <c r="I32" s="1369"/>
      <c r="J32" s="1369"/>
      <c r="K32" s="1369"/>
      <c r="L32" s="1370"/>
      <c r="M32" s="1369"/>
      <c r="N32" s="1369"/>
      <c r="O32" s="1369"/>
      <c r="S32" s="2251" t="s">
        <v>43</v>
      </c>
      <c r="T32" s="2251"/>
      <c r="U32" s="1373"/>
      <c r="V32" s="2252" t="str">
        <f>IF(TITLE_IST_PUB_CHANGE="",IF(TITLE_IST_PUB="","",TITLE_IST_PUB),TITLE_IST_PUB_CHANGE)</f>
        <v/>
      </c>
      <c r="W32" s="2252"/>
      <c r="X32" s="2252"/>
      <c r="Y32" s="2252"/>
      <c r="Z32" s="2252"/>
      <c r="AA32" s="2252"/>
      <c r="AB32" s="2252"/>
      <c r="AC32" s="327"/>
      <c r="AD32" s="2252" t="str">
        <f>IF(TITLE_IST_PUB_CHANGE="",IF(TITLE_IST_PUB="","",TITLE_IST_PUB),TITLE_IST_PUB_CHANGE)</f>
        <v/>
      </c>
      <c r="AE32" s="2252"/>
      <c r="AF32" s="2252"/>
      <c r="AG32" s="2252"/>
      <c r="AH32" s="2252"/>
      <c r="AI32" s="2252"/>
      <c r="AJ32" s="2252"/>
      <c r="AK32" s="327"/>
      <c r="AL32" s="327"/>
      <c r="AM32" s="281"/>
      <c r="AN32" s="369"/>
      <c r="AO32" s="369"/>
      <c r="AP32" s="369"/>
      <c r="AQ32" s="369"/>
      <c r="AR32" s="369"/>
      <c r="AS32" s="419">
        <v>0</v>
      </c>
    </row>
    <row customHeight="1" ht="14.25">
      <c r="Q33" s="377"/>
      <c r="R33" s="377"/>
      <c r="S33" s="1276"/>
      <c r="T33" s="364"/>
      <c r="U33" s="364"/>
      <c r="V33" s="323"/>
      <c r="W33" s="323"/>
      <c r="X33" s="323"/>
      <c r="Y33" s="323"/>
      <c r="Z33" s="323"/>
      <c r="AA33" s="323"/>
      <c r="AB33" s="323"/>
      <c r="AC33" s="323"/>
      <c r="AD33" s="323"/>
      <c r="AE33" s="323"/>
      <c r="AF33" s="323"/>
      <c r="AG33" s="323"/>
      <c r="AH33" s="323"/>
      <c r="AI33" s="323"/>
      <c r="AJ33" s="323"/>
      <c r="AK33" s="323"/>
      <c r="AL33" s="510"/>
      <c r="AS33" s="1156">
        <v>0</v>
      </c>
    </row>
    <row s="1854" customFormat="1" customHeight="1" ht="18.75">
      <c r="A34" s="1369"/>
      <c r="B34" s="1369"/>
      <c r="C34" s="1369"/>
      <c r="D34" s="1369"/>
      <c r="E34" s="1369"/>
      <c r="F34" s="1369"/>
      <c r="G34" s="1369"/>
      <c r="H34" s="1369"/>
      <c r="I34" s="1369"/>
      <c r="J34" s="1369"/>
      <c r="K34" s="1369"/>
      <c r="L34" s="1370"/>
      <c r="M34" s="1369"/>
      <c r="N34" s="1369"/>
      <c r="O34" s="1369"/>
      <c r="S34" s="2251" t="s">
        <v>439</v>
      </c>
      <c r="T34" s="2251"/>
      <c r="U34" s="1373"/>
      <c r="V34" s="2265" t="str">
        <f>IF(TITLE_DATE_PR_CHANGE="",IF(TITLE_DATE_PR="","",TITLE_DATE_PR),TITLE_DATE_PR_CHANGE)</f>
        <v>46142</v>
      </c>
      <c r="W34" s="2265"/>
      <c r="X34" s="2265"/>
      <c r="Y34" s="2265"/>
      <c r="Z34" s="2265"/>
      <c r="AA34" s="2265"/>
      <c r="AB34" s="2265"/>
      <c r="AC34" s="327"/>
      <c r="AD34" s="2265" t="str">
        <f>IF(TITLE_DATE_PR_CHANGE="",IF(TITLE_DATE_PR="","",TITLE_DATE_PR),TITLE_DATE_PR_CHANGE)</f>
        <v>46142</v>
      </c>
      <c r="AE34" s="2265"/>
      <c r="AF34" s="2265"/>
      <c r="AG34" s="2265"/>
      <c r="AH34" s="2265"/>
      <c r="AI34" s="2265"/>
      <c r="AJ34" s="2265"/>
      <c r="AK34" s="327"/>
      <c r="AL34" s="327"/>
      <c r="AM34" s="281"/>
      <c r="AN34" s="369"/>
      <c r="AO34" s="369"/>
      <c r="AP34" s="369"/>
      <c r="AQ34" s="369"/>
      <c r="AR34" s="369"/>
      <c r="AS34" s="419">
        <v>0</v>
      </c>
    </row>
    <row s="1854" customFormat="1" customHeight="1" ht="18.75">
      <c r="A35" s="1369"/>
      <c r="B35" s="1369"/>
      <c r="C35" s="1369"/>
      <c r="D35" s="1369"/>
      <c r="E35" s="1369"/>
      <c r="F35" s="1369"/>
      <c r="G35" s="1369"/>
      <c r="H35" s="1369"/>
      <c r="I35" s="1369"/>
      <c r="J35" s="1369"/>
      <c r="K35" s="1369"/>
      <c r="L35" s="1370"/>
      <c r="M35" s="1369"/>
      <c r="N35" s="1369"/>
      <c r="O35" s="1369"/>
      <c r="S35" s="2251" t="s">
        <v>440</v>
      </c>
      <c r="T35" s="2251"/>
      <c r="U35" s="1373"/>
      <c r="V35" s="2252" t="str">
        <f>IF(TITLE_NUMBER_PR_CHANGE="",IF(TITLE_NUMBER_PR="","",TITLE_NUMBER_PR),TITLE_NUMBER_PR_CHANGE)</f>
        <v>206Т</v>
      </c>
      <c r="W35" s="2252"/>
      <c r="X35" s="2252"/>
      <c r="Y35" s="2252"/>
      <c r="Z35" s="2252"/>
      <c r="AA35" s="2252"/>
      <c r="AB35" s="2252"/>
      <c r="AC35" s="327"/>
      <c r="AD35" s="2252" t="str">
        <f>IF(TITLE_NUMBER_PR_CHANGE="",IF(TITLE_NUMBER_PR="","",TITLE_NUMBER_PR),TITLE_NUMBER_PR_CHANGE)</f>
        <v>206Т</v>
      </c>
      <c r="AE35" s="2252"/>
      <c r="AF35" s="2252"/>
      <c r="AG35" s="2252"/>
      <c r="AH35" s="2252"/>
      <c r="AI35" s="2252"/>
      <c r="AJ35" s="2252"/>
      <c r="AK35" s="327"/>
      <c r="AL35" s="327"/>
      <c r="AM35" s="281"/>
      <c r="AN35" s="369"/>
      <c r="AO35" s="369"/>
      <c r="AP35" s="369"/>
      <c r="AQ35" s="369"/>
      <c r="AR35" s="369"/>
      <c r="AS35" s="419">
        <v>0</v>
      </c>
    </row>
    <row s="1854" customFormat="1" customHeight="1" ht="0">
      <c r="A36" s="1369"/>
      <c r="B36" s="1369"/>
      <c r="C36" s="1369"/>
      <c r="D36" s="1369"/>
      <c r="E36" s="1369"/>
      <c r="F36" s="1369"/>
      <c r="G36" s="1369"/>
      <c r="H36" s="1369"/>
      <c r="I36" s="1369"/>
      <c r="J36" s="1369"/>
      <c r="K36" s="1369"/>
      <c r="L36" s="1370"/>
      <c r="M36" s="1369"/>
      <c r="N36" s="1369"/>
      <c r="O36" s="1369"/>
      <c r="S36" s="324"/>
      <c r="T36" s="324"/>
      <c r="U36" s="1341"/>
      <c r="V36" s="327"/>
      <c r="W36" s="327"/>
      <c r="X36" s="327"/>
      <c r="Y36" s="327"/>
      <c r="Z36" s="327"/>
      <c r="AA36" s="327"/>
      <c r="AB36" s="327"/>
      <c r="AC36" s="279" t="s">
        <v>441</v>
      </c>
      <c r="AD36" s="327"/>
      <c r="AE36" s="327"/>
      <c r="AF36" s="327"/>
      <c r="AG36" s="327"/>
      <c r="AH36" s="327"/>
      <c r="AI36" s="327"/>
      <c r="AJ36" s="327"/>
      <c r="AK36" s="279" t="s">
        <v>441</v>
      </c>
      <c r="AN36" s="369"/>
      <c r="AO36" s="369"/>
      <c r="AP36" s="369"/>
      <c r="AQ36" s="369"/>
      <c r="AR36" s="369"/>
      <c r="AS36" s="419">
        <v>0</v>
      </c>
    </row>
    <row customHeight="1" ht="14.699999999999998">
      <c r="Q37" s="377"/>
      <c r="R37" s="377"/>
      <c r="S37" s="1276"/>
      <c r="T37" s="364"/>
      <c r="U37" s="1245"/>
      <c r="V37" s="2253"/>
      <c r="W37" s="2253"/>
      <c r="X37" s="2253"/>
      <c r="Y37" s="2253"/>
      <c r="Z37" s="2253"/>
      <c r="AA37" s="2253"/>
      <c r="AB37" s="2253"/>
      <c r="AC37" s="2253"/>
      <c r="AD37" s="2253"/>
      <c r="AE37" s="2253"/>
      <c r="AF37" s="2253"/>
      <c r="AG37" s="2253"/>
      <c r="AH37" s="2253"/>
      <c r="AI37" s="2253"/>
      <c r="AJ37" s="2253"/>
      <c r="AK37" s="2253"/>
      <c r="AS37" s="1156">
        <v>14</v>
      </c>
    </row>
    <row customHeight="1" ht="14.699999999999998">
      <c r="Q38" s="377"/>
      <c r="R38" s="377"/>
      <c r="S38" s="2128" t="s">
        <v>317</v>
      </c>
      <c r="T38" s="2128"/>
      <c r="U38" s="2128"/>
      <c r="V38" s="2128"/>
      <c r="W38" s="2128"/>
      <c r="X38" s="2128"/>
      <c r="Y38" s="2128"/>
      <c r="Z38" s="2128"/>
      <c r="AA38" s="2128"/>
      <c r="AB38" s="2128"/>
      <c r="AC38" s="2128"/>
      <c r="AD38" s="2128"/>
      <c r="AE38" s="2128"/>
      <c r="AF38" s="2128"/>
      <c r="AG38" s="2128"/>
      <c r="AH38" s="2128"/>
      <c r="AI38" s="2128"/>
      <c r="AJ38" s="2128"/>
      <c r="AK38" s="2128"/>
      <c r="AL38" s="2128"/>
      <c r="AM38" s="2128" t="s">
        <v>318</v>
      </c>
      <c r="AS38" s="1156">
        <v>14</v>
      </c>
    </row>
    <row customHeight="1" ht="14.699999999999998">
      <c r="Q39" s="377"/>
      <c r="R39" s="377"/>
      <c r="S39" s="2274" t="s">
        <v>89</v>
      </c>
      <c r="T39" s="2210" t="s">
        <v>442</v>
      </c>
      <c r="U39" s="302"/>
      <c r="V39" s="2275" t="s">
        <v>443</v>
      </c>
      <c r="W39" s="2276"/>
      <c r="X39" s="2276"/>
      <c r="Y39" s="2276"/>
      <c r="Z39" s="2276"/>
      <c r="AA39" s="2276"/>
      <c r="AB39" s="2277"/>
      <c r="AC39" s="2278" t="s">
        <v>444</v>
      </c>
      <c r="AD39" s="2275" t="s">
        <v>443</v>
      </c>
      <c r="AE39" s="2276"/>
      <c r="AF39" s="2276"/>
      <c r="AG39" s="2276"/>
      <c r="AH39" s="2276"/>
      <c r="AI39" s="2276"/>
      <c r="AJ39" s="2277"/>
      <c r="AK39" s="2278" t="s">
        <v>445</v>
      </c>
      <c r="AL39" s="2281" t="s">
        <v>446</v>
      </c>
      <c r="AM39" s="2128"/>
      <c r="AS39" s="1156">
        <v>14</v>
      </c>
    </row>
    <row customHeight="1" ht="35.699999999999996">
      <c r="Q40" s="377"/>
      <c r="R40" s="377"/>
      <c r="S40" s="2274"/>
      <c r="T40" s="2210"/>
      <c r="U40" s="1032"/>
      <c r="V40" s="2261" t="s">
        <v>447</v>
      </c>
      <c r="W40" s="2284"/>
      <c r="X40" s="2263" t="s">
        <v>449</v>
      </c>
      <c r="Y40" s="2264"/>
      <c r="Z40" s="2263" t="s">
        <v>450</v>
      </c>
      <c r="AA40" s="2270"/>
      <c r="AB40" s="2264"/>
      <c r="AC40" s="2279"/>
      <c r="AD40" s="2261" t="s">
        <v>469</v>
      </c>
      <c r="AE40" s="2284"/>
      <c r="AF40" s="2263" t="s">
        <v>449</v>
      </c>
      <c r="AG40" s="2264"/>
      <c r="AH40" s="2263" t="s">
        <v>450</v>
      </c>
      <c r="AI40" s="2270"/>
      <c r="AJ40" s="2264"/>
      <c r="AK40" s="2279"/>
      <c r="AL40" s="2282"/>
      <c r="AM40" s="2128"/>
      <c r="AS40" s="1156">
        <v>34</v>
      </c>
    </row>
    <row customHeight="1" ht="35.699999999999996">
      <c r="A41" s="1371"/>
      <c r="B41" s="1371" t="s">
        <v>143</v>
      </c>
      <c r="C41" s="1371" t="s">
        <v>144</v>
      </c>
      <c r="D41" s="1371" t="s">
        <v>145</v>
      </c>
      <c r="E41" s="1365" t="s">
        <v>451</v>
      </c>
      <c r="F41" s="1365" t="s">
        <v>452</v>
      </c>
      <c r="G41" s="1365" t="s">
        <v>453</v>
      </c>
      <c r="H41" s="1365" t="s">
        <v>454</v>
      </c>
      <c r="I41" s="1365" t="s">
        <v>455</v>
      </c>
      <c r="J41" s="1365" t="s">
        <v>456</v>
      </c>
      <c r="K41" s="1365" t="s">
        <v>457</v>
      </c>
      <c r="L41" s="1365" t="s">
        <v>432</v>
      </c>
      <c r="Q41" s="377"/>
      <c r="R41" s="377"/>
      <c r="S41" s="2274"/>
      <c r="T41" s="2210"/>
      <c r="U41" s="303"/>
      <c r="V41" s="2262"/>
      <c r="W41" s="2285"/>
      <c r="X41" s="1223" t="s">
        <v>458</v>
      </c>
      <c r="Y41" s="1223" t="s">
        <v>459</v>
      </c>
      <c r="Z41" s="1339" t="s">
        <v>460</v>
      </c>
      <c r="AA41" s="2271" t="s">
        <v>461</v>
      </c>
      <c r="AB41" s="2272"/>
      <c r="AC41" s="2280"/>
      <c r="AD41" s="2262"/>
      <c r="AE41" s="2285"/>
      <c r="AF41" s="1223" t="s">
        <v>458</v>
      </c>
      <c r="AG41" s="1223" t="s">
        <v>459</v>
      </c>
      <c r="AH41" s="1339" t="s">
        <v>460</v>
      </c>
      <c r="AI41" s="2271" t="s">
        <v>461</v>
      </c>
      <c r="AJ41" s="2272"/>
      <c r="AK41" s="2280"/>
      <c r="AL41" s="2283"/>
      <c r="AM41" s="2128"/>
      <c r="AS41" s="1156">
        <v>34</v>
      </c>
    </row>
    <row s="1642" customFormat="1" customHeight="1" ht="11.25" hidden="1">
      <c r="A42" s="1371"/>
      <c r="B42" s="1371"/>
      <c r="C42" s="1371"/>
      <c r="D42" s="1371"/>
      <c r="E42" s="1371"/>
      <c r="F42" s="1371"/>
      <c r="G42" s="1371"/>
      <c r="H42" s="1371"/>
      <c r="I42" s="1371"/>
      <c r="J42" s="1371"/>
      <c r="K42" s="1371"/>
      <c r="L42" s="1365"/>
      <c r="M42" s="1363"/>
      <c r="N42" s="1363"/>
      <c r="O42" s="1363"/>
      <c r="P42" s="1247"/>
      <c r="Q42" s="1248"/>
      <c r="R42" s="1255">
        <v>1</v>
      </c>
      <c r="S42" s="1278" t="s">
        <v>118</v>
      </c>
      <c r="T42" s="1256" t="s">
        <v>103</v>
      </c>
      <c r="U42" s="1246" t="str">
        <f>OFFSET(U42,0,-1)</f>
        <v>2</v>
      </c>
      <c r="V42" s="1336">
        <f>OFFSET(V42,0,-1)+1</f>
        <v>3</v>
      </c>
      <c r="W42" s="1336"/>
      <c r="X42" s="1336">
        <f>OFFSET(X42,0,-1)+1</f>
        <v>1</v>
      </c>
      <c r="Y42" s="1336">
        <f>OFFSET(Y42,0,-1)+1</f>
        <v>2</v>
      </c>
      <c r="Z42" s="1336">
        <f>OFFSET(Z42,0,-1)+1</f>
        <v>3</v>
      </c>
      <c r="AA42" s="2273">
        <f>OFFSET(AA42,0,-1)+1</f>
        <v>4</v>
      </c>
      <c r="AB42" s="2273"/>
      <c r="AC42" s="1336">
        <f>OFFSET(AC42,0,-2)+1</f>
        <v>5</v>
      </c>
      <c r="AD42" s="1336">
        <f>OFFSET(AD42,0,-1)+1</f>
        <v>6</v>
      </c>
      <c r="AE42" s="1336"/>
      <c r="AF42" s="1336">
        <f>OFFSET(AF42,0,-1)+1</f>
        <v>1</v>
      </c>
      <c r="AG42" s="1336">
        <f>OFFSET(AG42,0,-1)+1</f>
        <v>2</v>
      </c>
      <c r="AH42" s="1336">
        <f>OFFSET(AH42,0,-1)+1</f>
        <v>3</v>
      </c>
      <c r="AI42" s="2273">
        <f>OFFSET(AI42,0,-1)+1</f>
        <v>4</v>
      </c>
      <c r="AJ42" s="2273"/>
      <c r="AK42" s="1336">
        <f>OFFSET(AK42,0,-2)+1</f>
        <v>5</v>
      </c>
      <c r="AL42" s="1246">
        <f>OFFSET(AL42,0,-1)</f>
        <v>5</v>
      </c>
      <c r="AM42" s="1336">
        <f>OFFSET(AM42,0,-1)+1</f>
        <v>6</v>
      </c>
      <c r="AN42" s="512"/>
      <c r="AO42" s="512"/>
      <c r="AP42" s="512"/>
      <c r="AQ42" s="512"/>
      <c r="AR42" s="512"/>
      <c r="AS42" s="497">
        <v>0</v>
      </c>
    </row>
    <row customHeight="1" ht="22.049999999999997">
      <c r="A43" s="1364" t="s">
        <v>199</v>
      </c>
      <c r="B43" s="1364"/>
      <c r="C43" s="1364"/>
      <c r="D43" s="1364"/>
      <c r="E43" s="2259">
        <v>1</v>
      </c>
      <c r="F43" s="1364"/>
      <c r="G43" s="1364"/>
      <c r="H43" s="1364"/>
      <c r="I43" s="1364"/>
      <c r="J43" s="1364"/>
      <c r="K43" s="1364"/>
      <c r="L43" s="1365"/>
      <c r="M43" s="1366"/>
      <c r="N43" s="1366"/>
      <c r="O43" s="1366"/>
      <c r="P43" s="362"/>
      <c r="Q43" s="361"/>
      <c r="R43" s="356"/>
      <c r="S43" s="1337">
        <f>INDEX(PT_DIFFERENTIATION_NUM_NTAR,MATCH(A43,PT_DIFFERENTIATION_NTAR_ID,0))</f>
        <v>0</v>
      </c>
      <c r="T43" s="299" t="s">
        <v>131</v>
      </c>
      <c r="U43" s="301"/>
      <c r="V43" s="2243"/>
      <c r="W43" s="2244"/>
      <c r="X43" s="2244"/>
      <c r="Y43" s="2244"/>
      <c r="Z43" s="2244"/>
      <c r="AA43" s="2244"/>
      <c r="AB43" s="2244"/>
      <c r="AC43" s="2245"/>
      <c r="AD43" s="2243" t="str">
        <f>INDEX(PT_DIFFERENTIATION_NTAR,MATCH(A43,PT_DIFFERENTIATION_NTAR_ID,0))</f>
        <v/>
      </c>
      <c r="AE43" s="2244"/>
      <c r="AF43" s="2244"/>
      <c r="AG43" s="2244"/>
      <c r="AH43" s="2244"/>
      <c r="AI43" s="2244"/>
      <c r="AJ43" s="2244"/>
      <c r="AK43" s="2244"/>
      <c r="AL43" s="2245"/>
      <c r="AM43" s="1259" t="str">
        <f>IF(TEMPLATE_GROUP="P","По данной форме раскрывается в том числе информация о тарифах на теплоноситель в виде воды, поставляемый единой теплоснабжающей организацией потребителям и теплоснабжающими организациями другим теплоснабжающим организациям "&amp;"с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"&amp;"2010 г. N 190-ФЗ ""О теплоснабжении"", а также информация о тарифах на теплоноситель в виде воды, поставляемый теплоснабжающей организацией, теплосетевой организацией в ценовых зонах "&amp;"теплоснабжения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"&amp;"6 части 1 статьи 23 4 Федерального закона от 27 июля 2010 г. N 190-ФЗ ""О теплоснабжении"".
"&amp;"Для каждого вида тарифа в сфере теплоснабжения форма заполняется отдельно.
"&amp;"При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об установлении цены"&amp;" (тарифа), источник официального опубликования решения об установлении цены (тарифа) в сфере теплоснабжения.","Для каждого вида тарифа в сфере теплоснабжения форма заполняется отдельно.
"&amp;"В соответствии с данной формой раскрывается в том числе информация о тарифах на теплоноситель в виде воды, поставляемый единой теплоснабжающей организацией потребителям и теплоснабжающими организациями другим теплоснабжающим "&amp;"организациям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
"&amp;"В соответствии с данной формой раскрывается в том числе информация о тарифах на теплоноситель в виде воды, поставляемый теплоснабжающей организаций, теплосетевой организацией в ценовых зонах теплоснабжения другим теплоснабжающим "&amp;"организациям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"&amp;"Федерального закона от 27 июля 2010 г. N 190-ФЗ ""О теплоснабжении"". Указывается наименование тарифа в случае "&amp;IF(TEMPLATE_GROUP="P","утверждения","предложения")&amp;" нескольких тарифов.
В случае наличия нескольких тарифов информация по ним указывается в отдельных строках.")</f>
        <v>Для каждого вида тарифа в сфере теплоснабжения форма заполняется отдельно.
В соответствии с данной формой раскрывается в том числе информация о тарифах на теплоноситель в виде воды, поставляемый единой теплоснабжающей организацией потребителям и теплоснабжающими организациями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
В соответствии с данной формой раскрывается в том числе информация о тарифах на теплоноситель в виде воды, поставляемый теплоснабжающей организаций, теплосетевой организацией в ценовых зонах теплоснабжения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 Указывается наименование тарифа в случае предложения нескольких тарифов.
В случае наличия нескольких тарифов информация по ним указывается в отдельных строках.</v>
      </c>
      <c r="AO43" s="501"/>
      <c r="AP43" s="501" t="str">
        <f>IF(T43="","",T43)</f>
        <v>Наименование тарифа</v>
      </c>
      <c r="AQ43" s="501"/>
      <c r="AR43" s="501"/>
      <c r="AS43" s="1156">
        <v>21</v>
      </c>
    </row>
    <row customHeight="1" ht="22.049999999999997">
      <c r="A44" s="1364" t="s">
        <v>199</v>
      </c>
      <c r="B44" s="1364" t="s">
        <v>200</v>
      </c>
      <c r="C44" s="1364"/>
      <c r="D44" s="1364"/>
      <c r="E44" s="2260"/>
      <c r="F44" s="2259">
        <v>1</v>
      </c>
      <c r="G44" s="1364"/>
      <c r="H44" s="1364"/>
      <c r="I44" s="1364"/>
      <c r="J44" s="1364"/>
      <c r="K44" s="1364"/>
      <c r="L44" s="1365"/>
      <c r="M44" s="1366"/>
      <c r="N44" s="1366"/>
      <c r="O44" s="1366"/>
      <c r="P44" s="1333"/>
      <c r="Q44" s="353"/>
      <c r="R44" s="354"/>
      <c r="S44" s="1337" t="str">
        <f>INDEX(PT_DIFFERENTIATION_NUM_TER,MATCH(B44,PT_DIFFERENTIATION_TER_ID,0))</f>
        <v>.</v>
      </c>
      <c r="T44" s="309" t="s">
        <v>414</v>
      </c>
      <c r="U44" s="301"/>
      <c r="V44" s="2243"/>
      <c r="W44" s="2244"/>
      <c r="X44" s="2244"/>
      <c r="Y44" s="2244"/>
      <c r="Z44" s="2244"/>
      <c r="AA44" s="2244"/>
      <c r="AB44" s="2244"/>
      <c r="AC44" s="2245"/>
      <c r="AD44" s="2243" t="str">
        <f>INDEX(PT_DIFFERENTIATION_TER,MATCH(B44,PT_DIFFERENTIATION_TER_ID,0))</f>
        <v/>
      </c>
      <c r="AE44" s="2244"/>
      <c r="AF44" s="2244"/>
      <c r="AG44" s="2244"/>
      <c r="AH44" s="2244"/>
      <c r="AI44" s="2244"/>
      <c r="AJ44" s="2244"/>
      <c r="AK44" s="2244"/>
      <c r="AL44" s="2245"/>
      <c r="AM44" s="1259" t="s">
        <v>415</v>
      </c>
      <c r="AO44" s="501"/>
      <c r="AP44" s="501" t="str">
        <f>IF(T44="","",T44)</f>
        <v>Территория действия тарифа</v>
      </c>
      <c r="AQ44" s="501"/>
      <c r="AR44" s="501"/>
      <c r="AS44" s="1156">
        <v>21</v>
      </c>
    </row>
    <row customHeight="1" ht="24">
      <c r="A45" s="1364" t="s">
        <v>199</v>
      </c>
      <c r="B45" s="1364" t="s">
        <v>200</v>
      </c>
      <c r="C45" s="1364" t="s">
        <v>201</v>
      </c>
      <c r="D45" s="1364"/>
      <c r="E45" s="2260"/>
      <c r="F45" s="2260"/>
      <c r="G45" s="2259">
        <v>1</v>
      </c>
      <c r="H45" s="1364"/>
      <c r="I45" s="1364"/>
      <c r="J45" s="1364"/>
      <c r="K45" s="1364"/>
      <c r="L45" s="1365"/>
      <c r="M45" s="1366"/>
      <c r="N45" s="1366"/>
      <c r="O45" s="1366"/>
      <c r="P45" s="355"/>
      <c r="Q45" s="353"/>
      <c r="R45" s="354"/>
      <c r="S45" s="1337" t="str">
        <f>INDEX(PT_DIFFERENTIATION_NUM_CS,MATCH(C45,PT_DIFFERENTIATION_CS_ID,0))</f>
        <v>..</v>
      </c>
      <c r="T45" s="310" t="s">
        <v>416</v>
      </c>
      <c r="U45" s="301"/>
      <c r="V45" s="2243"/>
      <c r="W45" s="2244"/>
      <c r="X45" s="2244"/>
      <c r="Y45" s="2244"/>
      <c r="Z45" s="2244"/>
      <c r="AA45" s="2244"/>
      <c r="AB45" s="2244"/>
      <c r="AC45" s="2245"/>
      <c r="AD45" s="2243" t="str">
        <f>INDEX(PT_DIFFERENTIATION_CS,MATCH(C45,PT_DIFFERENTIATION_CS_ID,0))</f>
        <v/>
      </c>
      <c r="AE45" s="2244"/>
      <c r="AF45" s="2244"/>
      <c r="AG45" s="2244"/>
      <c r="AH45" s="2244"/>
      <c r="AI45" s="2244"/>
      <c r="AJ45" s="2244"/>
      <c r="AK45" s="2244"/>
      <c r="AL45" s="2245"/>
      <c r="AM45" s="1259" t="s">
        <v>417</v>
      </c>
      <c r="AO45" s="501"/>
      <c r="AP45" s="501" t="str">
        <f>IF(T45="","",T45)</f>
        <v>Наименование системы теплоснабжения </v>
      </c>
      <c r="AQ45" s="501"/>
      <c r="AR45" s="501"/>
      <c r="AS45" s="1156">
        <v>23</v>
      </c>
    </row>
    <row customHeight="1" ht="22.049999999999997">
      <c r="A46" s="1364" t="s">
        <v>199</v>
      </c>
      <c r="B46" s="1364" t="s">
        <v>200</v>
      </c>
      <c r="C46" s="1364" t="s">
        <v>201</v>
      </c>
      <c r="D46" s="1364" t="s">
        <v>202</v>
      </c>
      <c r="E46" s="2260"/>
      <c r="F46" s="2260"/>
      <c r="G46" s="2260"/>
      <c r="H46" s="2259">
        <v>1</v>
      </c>
      <c r="I46" s="1364"/>
      <c r="J46" s="1364"/>
      <c r="K46" s="1364"/>
      <c r="L46" s="1365"/>
      <c r="M46" s="1366"/>
      <c r="N46" s="1366"/>
      <c r="O46" s="1366"/>
      <c r="P46" s="355"/>
      <c r="Q46" s="353"/>
      <c r="R46" s="354"/>
      <c r="S46" s="1337" t="str">
        <f>INDEX(PT_DIFFERENTIATION_NUM_IST_TE,MATCH(D46,PT_DIFFERENTIATION_IST_TE_ID,0))</f>
        <v>...</v>
      </c>
      <c r="T46" s="311" t="s">
        <v>418</v>
      </c>
      <c r="U46" s="301"/>
      <c r="V46" s="2243"/>
      <c r="W46" s="2244"/>
      <c r="X46" s="2244"/>
      <c r="Y46" s="2244"/>
      <c r="Z46" s="2244"/>
      <c r="AA46" s="2244"/>
      <c r="AB46" s="2244"/>
      <c r="AC46" s="2245"/>
      <c r="AD46" s="2243" t="str">
        <f>INDEX(PT_DIFFERENTIATION_IST_TE,MATCH(D46,PT_DIFFERENTIATION_IST_TE_ID,0))</f>
        <v/>
      </c>
      <c r="AE46" s="2244"/>
      <c r="AF46" s="2244"/>
      <c r="AG46" s="2244"/>
      <c r="AH46" s="2244"/>
      <c r="AI46" s="2244"/>
      <c r="AJ46" s="2244"/>
      <c r="AK46" s="2244"/>
      <c r="AL46" s="2245"/>
      <c r="AM46" s="1259" t="s">
        <v>419</v>
      </c>
      <c r="AO46" s="501"/>
      <c r="AP46" s="501" t="str">
        <f>IF(T46="","",T46)</f>
        <v>Источник тепловой энергии  </v>
      </c>
      <c r="AQ46" s="501"/>
      <c r="AR46" s="501"/>
      <c r="AS46" s="1156">
        <v>21</v>
      </c>
    </row>
    <row s="1643" customFormat="1" customHeight="1" ht="0">
      <c r="A47" s="1344" t="s">
        <v>199</v>
      </c>
      <c r="B47" s="1344" t="s">
        <v>200</v>
      </c>
      <c r="C47" s="1344" t="s">
        <v>201</v>
      </c>
      <c r="D47" s="1344" t="s">
        <v>202</v>
      </c>
      <c r="E47" s="2260"/>
      <c r="F47" s="2260"/>
      <c r="G47" s="2260"/>
      <c r="H47" s="2260"/>
      <c r="I47" s="2257" t="str">
        <f>S46&amp;".1"</f>
        <v>....1</v>
      </c>
      <c r="J47" s="1344"/>
      <c r="K47" s="1344"/>
      <c r="L47" s="1347" t="s">
        <v>420</v>
      </c>
      <c r="M47" s="511"/>
      <c r="N47" s="511"/>
      <c r="O47" s="511"/>
      <c r="P47" s="2258">
        <v>1</v>
      </c>
      <c r="Q47" s="1332"/>
      <c r="R47" s="357"/>
      <c r="S47" s="1043"/>
      <c r="T47" s="1384"/>
      <c r="U47" s="1385"/>
      <c r="V47" s="2297"/>
      <c r="W47" s="2298"/>
      <c r="X47" s="2298"/>
      <c r="Y47" s="2298"/>
      <c r="Z47" s="2298"/>
      <c r="AA47" s="2298"/>
      <c r="AB47" s="2298"/>
      <c r="AC47" s="2299"/>
      <c r="AD47" s="2297"/>
      <c r="AE47" s="2298"/>
      <c r="AF47" s="2298"/>
      <c r="AG47" s="2298"/>
      <c r="AH47" s="2298"/>
      <c r="AI47" s="2298"/>
      <c r="AJ47" s="2298"/>
      <c r="AK47" s="2298"/>
      <c r="AL47" s="2299"/>
      <c r="AM47" s="1386"/>
      <c r="AO47" s="501"/>
      <c r="AP47" s="501" t="str">
        <f>IF(T47="","",T47)</f>
        <v/>
      </c>
      <c r="AQ47" s="501"/>
      <c r="AR47" s="501"/>
      <c r="AS47" s="512">
        <v>0</v>
      </c>
    </row>
    <row customHeight="1" ht="22.049999999999997">
      <c r="A48" s="1364" t="s">
        <v>199</v>
      </c>
      <c r="B48" s="1364" t="s">
        <v>200</v>
      </c>
      <c r="C48" s="1364" t="s">
        <v>201</v>
      </c>
      <c r="D48" s="1364" t="s">
        <v>202</v>
      </c>
      <c r="E48" s="2260"/>
      <c r="F48" s="2260"/>
      <c r="G48" s="2260"/>
      <c r="H48" s="2260"/>
      <c r="I48" s="2287"/>
      <c r="J48" s="2257" t="str">
        <f>S46&amp;".1"</f>
        <v>....1</v>
      </c>
      <c r="K48" s="1364"/>
      <c r="L48" s="1365" t="s">
        <v>423</v>
      </c>
      <c r="P48" s="2258"/>
      <c r="Q48" s="2258">
        <v>1</v>
      </c>
      <c r="R48" s="358"/>
      <c r="S48" s="1337" t="str">
        <f>$J48</f>
        <v>....1</v>
      </c>
      <c r="T48" s="287" t="s">
        <v>424</v>
      </c>
      <c r="U48" s="301"/>
      <c r="V48" s="2246"/>
      <c r="W48" s="2247"/>
      <c r="X48" s="2247"/>
      <c r="Y48" s="2247"/>
      <c r="Z48" s="2247"/>
      <c r="AA48" s="2247"/>
      <c r="AB48" s="2247"/>
      <c r="AC48" s="2248"/>
      <c r="AD48" s="2246"/>
      <c r="AE48" s="2247"/>
      <c r="AF48" s="2247"/>
      <c r="AG48" s="2247"/>
      <c r="AH48" s="2247"/>
      <c r="AI48" s="2247"/>
      <c r="AJ48" s="2247"/>
      <c r="AK48" s="2247"/>
      <c r="AL48" s="2248"/>
      <c r="AM48" s="1259" t="s">
        <v>425</v>
      </c>
      <c r="AO48" s="501"/>
      <c r="AP48" s="501" t="str">
        <f>IF(T48="","",T48)</f>
        <v>Группа потребителей</v>
      </c>
      <c r="AQ48" s="501"/>
      <c r="AR48" s="501"/>
      <c r="AS48" s="1156">
        <v>21</v>
      </c>
    </row>
    <row customHeight="1" ht="22.049999999999997">
      <c r="A49" s="1364" t="s">
        <v>199</v>
      </c>
      <c r="B49" s="1364" t="s">
        <v>200</v>
      </c>
      <c r="C49" s="1364" t="s">
        <v>201</v>
      </c>
      <c r="D49" s="1364" t="s">
        <v>202</v>
      </c>
      <c r="E49" s="2260"/>
      <c r="F49" s="2260"/>
      <c r="G49" s="2260"/>
      <c r="H49" s="2260"/>
      <c r="I49" s="2287"/>
      <c r="J49" s="2287"/>
      <c r="K49" s="2257" t="str">
        <f>J48&amp;".1"</f>
        <v>....1.1</v>
      </c>
      <c r="L49" s="1365" t="s">
        <v>426</v>
      </c>
      <c r="P49" s="2258"/>
      <c r="Q49" s="2258"/>
      <c r="R49" s="358">
        <v>1</v>
      </c>
      <c r="S49" s="1337" t="str">
        <f>$K49</f>
        <v>....1.1</v>
      </c>
      <c r="T49" s="1348"/>
      <c r="U49" s="301"/>
      <c r="V49" s="752"/>
      <c r="W49" s="326"/>
      <c r="X49" s="752"/>
      <c r="Y49" s="1258"/>
      <c r="Z49" s="2266"/>
      <c r="AA49" s="2108" t="s">
        <v>61</v>
      </c>
      <c r="AB49" s="2266"/>
      <c r="AC49" s="2108" t="s">
        <v>61</v>
      </c>
      <c r="AD49" s="752"/>
      <c r="AE49" s="326"/>
      <c r="AF49" s="752"/>
      <c r="AG49" s="1258"/>
      <c r="AH49" s="2266"/>
      <c r="AI49" s="2108" t="s">
        <v>61</v>
      </c>
      <c r="AJ49" s="2288"/>
      <c r="AK49" s="2108" t="s">
        <v>61</v>
      </c>
      <c r="AL49" s="1349"/>
      <c r="AM49" s="2254" t="s">
        <v>470</v>
      </c>
      <c r="AN49" s="512">
        <f>STRCHECKDATE(V50:AL50)</f>
      </c>
      <c r="AO49" s="501"/>
      <c r="AP49" s="501" t="str">
        <f>IF(T49="","",T49)</f>
        <v/>
      </c>
      <c r="AQ49" s="501"/>
      <c r="AR49" s="501"/>
      <c r="AS49" s="1156">
        <v>21</v>
      </c>
    </row>
    <row customHeight="1" ht="1.05">
      <c r="A50" s="1364" t="s">
        <v>199</v>
      </c>
      <c r="B50" s="1364" t="s">
        <v>200</v>
      </c>
      <c r="C50" s="1364" t="s">
        <v>201</v>
      </c>
      <c r="D50" s="1364" t="s">
        <v>202</v>
      </c>
      <c r="E50" s="2260"/>
      <c r="F50" s="2260"/>
      <c r="G50" s="2260"/>
      <c r="H50" s="2260"/>
      <c r="I50" s="2287"/>
      <c r="J50" s="2287"/>
      <c r="K50" s="2257"/>
      <c r="L50" s="1365"/>
      <c r="P50" s="2258"/>
      <c r="Q50" s="2258"/>
      <c r="R50" s="358"/>
      <c r="S50" s="1343"/>
      <c r="T50" s="301"/>
      <c r="U50" s="301"/>
      <c r="V50" s="326"/>
      <c r="W50" s="326"/>
      <c r="X50" s="326"/>
      <c r="Y50" s="329" t="str">
        <f>Z49&amp;"-"&amp;AB49</f>
        <v>-</v>
      </c>
      <c r="Z50" s="2267"/>
      <c r="AA50" s="2108"/>
      <c r="AB50" s="2267"/>
      <c r="AC50" s="2108"/>
      <c r="AD50" s="326"/>
      <c r="AE50" s="326"/>
      <c r="AF50" s="326"/>
      <c r="AG50" s="329" t="str">
        <f>AH49&amp;"-"&amp;AJ49</f>
        <v>-</v>
      </c>
      <c r="AH50" s="2267"/>
      <c r="AI50" s="2108"/>
      <c r="AJ50" s="2289"/>
      <c r="AK50" s="2108"/>
      <c r="AL50" s="1350"/>
      <c r="AM50" s="2255"/>
      <c r="AO50" s="501"/>
      <c r="AP50" s="501" t="str">
        <f>IF(T50="","",T50)</f>
        <v/>
      </c>
      <c r="AQ50" s="501"/>
      <c r="AR50" s="501"/>
      <c r="AS50" s="1156">
        <v>1</v>
      </c>
    </row>
    <row customHeight="1" ht="11.549999999999999">
      <c r="A51" s="1364" t="s">
        <v>199</v>
      </c>
      <c r="B51" s="1364" t="s">
        <v>200</v>
      </c>
      <c r="C51" s="1364" t="s">
        <v>201</v>
      </c>
      <c r="D51" s="1364" t="s">
        <v>202</v>
      </c>
      <c r="E51" s="2260"/>
      <c r="F51" s="2260"/>
      <c r="G51" s="2260"/>
      <c r="H51" s="2260"/>
      <c r="I51" s="2287"/>
      <c r="J51" s="2257"/>
      <c r="K51" s="1364"/>
      <c r="L51" s="1365"/>
      <c r="P51" s="2258"/>
      <c r="Q51" s="2258"/>
      <c r="R51" s="357"/>
      <c r="S51" s="1279"/>
      <c r="T51" s="288" t="s">
        <v>428</v>
      </c>
      <c r="U51" s="368"/>
      <c r="V51" s="368"/>
      <c r="W51" s="368"/>
      <c r="X51" s="368"/>
      <c r="Y51" s="368"/>
      <c r="Z51" s="368"/>
      <c r="AA51" s="368"/>
      <c r="AB51" s="368"/>
      <c r="AC51" s="368"/>
      <c r="AD51" s="368"/>
      <c r="AE51" s="368"/>
      <c r="AF51" s="368"/>
      <c r="AG51" s="368"/>
      <c r="AH51" s="368"/>
      <c r="AI51" s="368"/>
      <c r="AJ51" s="368"/>
      <c r="AK51" s="368"/>
      <c r="AL51" s="325"/>
      <c r="AM51" s="2256"/>
      <c r="AO51" s="501"/>
      <c r="AP51" s="501" t="str">
        <f>IF(T51="","",T51)</f>
        <v>Добавить вид теплоносителя (параметры теплоносителя)</v>
      </c>
      <c r="AQ51" s="501"/>
      <c r="AR51" s="501"/>
      <c r="AS51" s="1156">
        <v>11</v>
      </c>
    </row>
    <row customHeight="1" ht="11.549999999999999">
      <c r="A52" s="1364" t="s">
        <v>199</v>
      </c>
      <c r="B52" s="1364" t="s">
        <v>200</v>
      </c>
      <c r="C52" s="1364" t="s">
        <v>201</v>
      </c>
      <c r="D52" s="1364" t="s">
        <v>202</v>
      </c>
      <c r="E52" s="2260"/>
      <c r="F52" s="2260"/>
      <c r="G52" s="2260"/>
      <c r="H52" s="2260"/>
      <c r="I52" s="2257"/>
      <c r="J52" s="1364"/>
      <c r="K52" s="1364"/>
      <c r="L52" s="1365"/>
      <c r="P52" s="2258"/>
      <c r="Q52" s="1332"/>
      <c r="R52" s="357"/>
      <c r="S52" s="1279"/>
      <c r="T52" s="366" t="s">
        <v>429</v>
      </c>
      <c r="U52" s="368"/>
      <c r="V52" s="368"/>
      <c r="W52" s="368"/>
      <c r="X52" s="368"/>
      <c r="Y52" s="368"/>
      <c r="Z52" s="368"/>
      <c r="AA52" s="368"/>
      <c r="AB52" s="368"/>
      <c r="AC52" s="367"/>
      <c r="AD52" s="368"/>
      <c r="AE52" s="368"/>
      <c r="AF52" s="368"/>
      <c r="AG52" s="368"/>
      <c r="AH52" s="368"/>
      <c r="AI52" s="368"/>
      <c r="AJ52" s="368"/>
      <c r="AK52" s="367"/>
      <c r="AL52" s="368"/>
      <c r="AM52" s="304"/>
      <c r="AO52" s="501"/>
      <c r="AP52" s="501" t="str">
        <f>IF(T52="","",T52)</f>
        <v>Добавить группу потребителей</v>
      </c>
      <c r="AQ52" s="501"/>
      <c r="AR52" s="501"/>
      <c r="AS52" s="1156">
        <v>11</v>
      </c>
    </row>
    <row customHeight="1" ht="0">
      <c r="A53" s="1364" t="s">
        <v>199</v>
      </c>
      <c r="B53" s="1364" t="s">
        <v>200</v>
      </c>
      <c r="C53" s="1364" t="s">
        <v>201</v>
      </c>
      <c r="D53" s="1364" t="s">
        <v>202</v>
      </c>
      <c r="E53" s="2260"/>
      <c r="F53" s="2260"/>
      <c r="G53" s="2260"/>
      <c r="H53" s="2259"/>
      <c r="I53" s="1364"/>
      <c r="J53" s="1364"/>
      <c r="K53" s="1364"/>
      <c r="L53" s="1365"/>
      <c r="M53" s="1366"/>
      <c r="N53" s="1366"/>
      <c r="O53" s="538"/>
      <c r="P53" s="361"/>
      <c r="Q53" s="376"/>
      <c r="R53" s="356"/>
      <c r="S53" s="1387"/>
      <c r="T53" s="1388"/>
      <c r="U53" s="1389"/>
      <c r="V53" s="1389"/>
      <c r="W53" s="1389"/>
      <c r="X53" s="1389"/>
      <c r="Y53" s="1389"/>
      <c r="Z53" s="1389"/>
      <c r="AA53" s="1389"/>
      <c r="AB53" s="1389"/>
      <c r="AC53" s="1389"/>
      <c r="AD53" s="1389"/>
      <c r="AE53" s="1389"/>
      <c r="AF53" s="1389"/>
      <c r="AG53" s="1389"/>
      <c r="AH53" s="1389"/>
      <c r="AI53" s="1389"/>
      <c r="AJ53" s="1389"/>
      <c r="AK53" s="1389"/>
      <c r="AL53" s="1389"/>
      <c r="AM53" s="1390"/>
      <c r="AO53" s="501"/>
      <c r="AP53" s="501" t="str">
        <f>IF(T53="","",T53)</f>
        <v/>
      </c>
      <c r="AQ53" s="501"/>
      <c r="AR53" s="501"/>
      <c r="AS53" s="1156">
        <v>0</v>
      </c>
    </row>
    <row s="1643" customFormat="1" customHeight="1" ht="1.05">
      <c r="A54" s="1344" t="s">
        <v>199</v>
      </c>
      <c r="B54" s="1344" t="s">
        <v>200</v>
      </c>
      <c r="C54" s="1344" t="s">
        <v>201</v>
      </c>
      <c r="D54" s="1315"/>
      <c r="E54" s="2260"/>
      <c r="F54" s="2260"/>
      <c r="G54" s="2259"/>
      <c r="H54" s="1315"/>
      <c r="I54" s="1315"/>
      <c r="J54" s="1315"/>
      <c r="K54" s="1315"/>
      <c r="L54" s="1340"/>
      <c r="M54" s="1316"/>
      <c r="N54" s="1316"/>
      <c r="P54" s="1317"/>
      <c r="Q54" s="1318"/>
      <c r="R54" s="1317"/>
      <c r="S54" s="1323"/>
      <c r="T54" s="1326" t="s">
        <v>176</v>
      </c>
      <c r="U54" s="1325"/>
      <c r="V54" s="1325"/>
      <c r="W54" s="1325"/>
      <c r="X54" s="1325"/>
      <c r="Y54" s="1325"/>
      <c r="Z54" s="1325"/>
      <c r="AA54" s="1325"/>
      <c r="AB54" s="1325"/>
      <c r="AC54" s="1325"/>
      <c r="AD54" s="1325"/>
      <c r="AE54" s="1325"/>
      <c r="AF54" s="1325"/>
      <c r="AG54" s="1325"/>
      <c r="AH54" s="1325"/>
      <c r="AI54" s="1325"/>
      <c r="AJ54" s="1325"/>
      <c r="AK54" s="1325"/>
      <c r="AL54" s="1325"/>
      <c r="AM54" s="1325"/>
      <c r="AO54" s="790"/>
      <c r="AP54" s="790" t="str">
        <f>IF(T54="","",T54)</f>
        <v>Добавить источник для дифференциации</v>
      </c>
      <c r="AQ54" s="790"/>
      <c r="AR54" s="790"/>
      <c r="AS54" s="519">
        <v>1</v>
      </c>
    </row>
    <row s="1643" customFormat="1" customHeight="1" ht="1.05">
      <c r="A55" s="1344" t="s">
        <v>199</v>
      </c>
      <c r="B55" s="1344" t="s">
        <v>200</v>
      </c>
      <c r="C55" s="1315"/>
      <c r="D55" s="1315"/>
      <c r="E55" s="2260"/>
      <c r="F55" s="2259"/>
      <c r="G55" s="1315"/>
      <c r="H55" s="1315"/>
      <c r="I55" s="1315"/>
      <c r="J55" s="1315"/>
      <c r="K55" s="1315"/>
      <c r="L55" s="1340"/>
      <c r="M55" s="1322"/>
      <c r="N55" s="1322"/>
      <c r="P55" s="1317"/>
      <c r="Q55" s="1318"/>
      <c r="R55" s="1317"/>
      <c r="S55" s="1323"/>
      <c r="T55" s="1326" t="s">
        <v>177</v>
      </c>
      <c r="U55" s="1325"/>
      <c r="V55" s="1325"/>
      <c r="W55" s="1325"/>
      <c r="X55" s="1325"/>
      <c r="Y55" s="1325"/>
      <c r="Z55" s="1325"/>
      <c r="AA55" s="1325"/>
      <c r="AB55" s="1325"/>
      <c r="AC55" s="1325"/>
      <c r="AD55" s="1325"/>
      <c r="AE55" s="1325"/>
      <c r="AF55" s="1325"/>
      <c r="AG55" s="1325"/>
      <c r="AH55" s="1325"/>
      <c r="AI55" s="1325"/>
      <c r="AJ55" s="1325"/>
      <c r="AK55" s="1325"/>
      <c r="AL55" s="1325"/>
      <c r="AM55" s="1325"/>
      <c r="AO55" s="790"/>
      <c r="AP55" s="790" t="str">
        <f>IF(T55="","",T55)</f>
        <v>Добавить централизованную систему для дифференциации</v>
      </c>
      <c r="AQ55" s="790"/>
      <c r="AR55" s="790"/>
      <c r="AS55" s="519">
        <v>1</v>
      </c>
    </row>
    <row s="1643" customFormat="1" customHeight="1" ht="1.05">
      <c r="A56" s="1344" t="s">
        <v>199</v>
      </c>
      <c r="B56" s="1344"/>
      <c r="C56" s="1344"/>
      <c r="D56" s="1344"/>
      <c r="E56" s="2259"/>
      <c r="F56" s="1344"/>
      <c r="G56" s="1344"/>
      <c r="H56" s="1344"/>
      <c r="I56" s="1344"/>
      <c r="J56" s="1344"/>
      <c r="K56" s="1344"/>
      <c r="L56" s="1347"/>
      <c r="M56" s="1322"/>
      <c r="N56" s="1322"/>
      <c r="O56" s="519"/>
      <c r="P56" s="381"/>
      <c r="Q56" s="1345"/>
      <c r="R56" s="381"/>
      <c r="S56" s="1323"/>
      <c r="T56" s="1326" t="s">
        <v>178</v>
      </c>
      <c r="U56" s="1325"/>
      <c r="V56" s="1325"/>
      <c r="W56" s="1325"/>
      <c r="X56" s="1325"/>
      <c r="Y56" s="1325"/>
      <c r="Z56" s="1325"/>
      <c r="AA56" s="1325"/>
      <c r="AB56" s="1325"/>
      <c r="AC56" s="1325"/>
      <c r="AD56" s="1325"/>
      <c r="AE56" s="1325"/>
      <c r="AF56" s="1325"/>
      <c r="AG56" s="1325"/>
      <c r="AH56" s="1325"/>
      <c r="AI56" s="1325"/>
      <c r="AJ56" s="1325"/>
      <c r="AK56" s="1325"/>
      <c r="AL56" s="1325"/>
      <c r="AM56" s="1325"/>
      <c r="AO56" s="501"/>
      <c r="AP56" s="501" t="str">
        <f>IF(T56="","",T56)</f>
        <v>Добавить территорию для дифференциации</v>
      </c>
      <c r="AQ56" s="501"/>
      <c r="AR56" s="501"/>
      <c r="AS56" s="512">
        <v>1</v>
      </c>
    </row>
    <row s="1643" customFormat="1" customHeight="1" ht="1.05">
      <c r="A57" s="1315"/>
      <c r="B57" s="1315"/>
      <c r="C57" s="1315"/>
      <c r="D57" s="1315"/>
      <c r="E57" s="1344"/>
      <c r="F57" s="1315"/>
      <c r="G57" s="1315"/>
      <c r="H57" s="1315"/>
      <c r="I57" s="1315"/>
      <c r="J57" s="1315"/>
      <c r="K57" s="1315"/>
      <c r="L57" s="1340"/>
      <c r="M57" s="1322"/>
      <c r="N57" s="1322"/>
      <c r="P57" s="1317"/>
      <c r="Q57" s="1318"/>
      <c r="R57" s="1317"/>
      <c r="S57" s="1323"/>
      <c r="T57" s="1326" t="s">
        <v>184</v>
      </c>
      <c r="U57" s="1325"/>
      <c r="V57" s="1325"/>
      <c r="W57" s="1325"/>
      <c r="X57" s="1325"/>
      <c r="Y57" s="1325"/>
      <c r="Z57" s="1325"/>
      <c r="AA57" s="1325"/>
      <c r="AB57" s="1325"/>
      <c r="AC57" s="1325"/>
      <c r="AD57" s="1325"/>
      <c r="AE57" s="1325"/>
      <c r="AF57" s="1325"/>
      <c r="AG57" s="1325"/>
      <c r="AH57" s="1325"/>
      <c r="AI57" s="1325"/>
      <c r="AJ57" s="1325"/>
      <c r="AK57" s="1325"/>
      <c r="AL57" s="1325"/>
      <c r="AM57" s="1325"/>
      <c r="AO57" s="790"/>
      <c r="AP57" s="790" t="str">
        <f>IF(T57="","",T57)</f>
        <v>Добавить наименование тарифа</v>
      </c>
      <c r="AQ57" s="790"/>
      <c r="AR57" s="790"/>
      <c r="AS57" s="519">
        <v>1</v>
      </c>
    </row>
    <row customHeight="1" ht="11.549999999999999">
      <c r="M58" s="1161"/>
      <c r="N58" s="1161"/>
      <c r="O58" s="538"/>
      <c r="P58" s="1156"/>
      <c r="Q58" s="1156"/>
      <c r="R58" s="1156"/>
      <c r="S58" s="1156"/>
      <c r="AN58" s="1156"/>
      <c r="AO58" s="1156"/>
      <c r="AP58" s="1156"/>
      <c r="AQ58" s="1156"/>
      <c r="AR58" s="1156"/>
      <c r="AS58" s="1156">
        <v>11</v>
      </c>
    </row>
    <row customHeight="1" ht="23.25">
      <c r="O59" s="538"/>
      <c r="S59" s="1254"/>
      <c r="T59" s="2286"/>
      <c r="U59" s="2286"/>
      <c r="V59" s="2286"/>
      <c r="W59" s="2286"/>
      <c r="X59" s="2286"/>
      <c r="Y59" s="2286"/>
      <c r="Z59" s="2286"/>
      <c r="AA59" s="2286"/>
      <c r="AB59" s="2286"/>
      <c r="AC59" s="2286"/>
      <c r="AD59" s="2286"/>
      <c r="AE59" s="2286"/>
      <c r="AF59" s="2286"/>
      <c r="AG59" s="2286"/>
      <c r="AH59" s="2286"/>
      <c r="AI59" s="2286"/>
      <c r="AJ59" s="2286"/>
      <c r="AK59" s="2286"/>
      <c r="AL59" s="2286"/>
      <c r="AM59" s="2286"/>
      <c r="AS59" s="1156">
        <v>22</v>
      </c>
    </row>
    <row customHeight="1" ht="30.45">
      <c r="O60" s="538"/>
      <c r="T60" s="2286"/>
      <c r="U60" s="2286"/>
      <c r="V60" s="2286"/>
      <c r="W60" s="2286"/>
      <c r="X60" s="2286"/>
      <c r="Y60" s="2286"/>
      <c r="Z60" s="2286"/>
      <c r="AA60" s="2286"/>
      <c r="AB60" s="2286"/>
      <c r="AC60" s="2286"/>
      <c r="AD60" s="2286"/>
      <c r="AE60" s="2286"/>
      <c r="AF60" s="2286"/>
      <c r="AG60" s="2286"/>
      <c r="AH60" s="2286"/>
      <c r="AI60" s="2286"/>
      <c r="AJ60" s="2286"/>
      <c r="AK60" s="2286"/>
      <c r="AL60" s="2286"/>
      <c r="AM60" s="2286"/>
      <c r="AS60" s="1156">
        <v>29</v>
      </c>
    </row>
    <row customHeight="1" ht="42">
      <c r="O61" s="538"/>
      <c r="T61" s="2286"/>
      <c r="U61" s="2286"/>
      <c r="V61" s="2286"/>
      <c r="W61" s="2286"/>
      <c r="X61" s="2286"/>
      <c r="Y61" s="2286"/>
      <c r="Z61" s="2286"/>
      <c r="AA61" s="2286"/>
      <c r="AB61" s="2286"/>
      <c r="AC61" s="2286"/>
      <c r="AD61" s="2286"/>
      <c r="AE61" s="2286"/>
      <c r="AF61" s="2286"/>
      <c r="AG61" s="2286"/>
      <c r="AH61" s="2286"/>
      <c r="AI61" s="2286"/>
      <c r="AJ61" s="2286"/>
      <c r="AK61" s="2286"/>
      <c r="AL61" s="2286"/>
      <c r="AM61" s="2286"/>
      <c r="AS61" s="1156">
        <v>40</v>
      </c>
    </row>
    <row customHeight="1" ht="14.699999999999998">
      <c r="O62" s="538"/>
      <c r="AS62" s="1156">
        <v>14</v>
      </c>
    </row>
    <row customHeight="1" ht="21">
      <c r="O63" s="538"/>
      <c r="S63" s="1254"/>
      <c r="T63" s="2300"/>
      <c r="U63" s="2286"/>
      <c r="V63" s="2286"/>
      <c r="W63" s="2286"/>
      <c r="X63" s="2286"/>
      <c r="Y63" s="2286"/>
      <c r="Z63" s="2286"/>
      <c r="AA63" s="2286"/>
      <c r="AB63" s="2286"/>
      <c r="AC63" s="2286"/>
      <c r="AD63" s="2286"/>
      <c r="AE63" s="2286"/>
      <c r="AF63" s="2286"/>
      <c r="AG63" s="2286"/>
      <c r="AH63" s="2286"/>
      <c r="AI63" s="2286"/>
      <c r="AJ63" s="2286"/>
      <c r="AK63" s="2286"/>
      <c r="AL63" s="2286"/>
      <c r="AM63" s="2286"/>
      <c r="AS63" s="1156">
        <v>20</v>
      </c>
    </row>
    <row customHeight="1" ht="29.25">
      <c r="O64" s="538"/>
      <c r="T64" s="2286"/>
      <c r="U64" s="2286"/>
      <c r="V64" s="2286"/>
      <c r="W64" s="2286"/>
      <c r="X64" s="2286"/>
      <c r="Y64" s="2286"/>
      <c r="Z64" s="2286"/>
      <c r="AA64" s="2286"/>
      <c r="AB64" s="2286"/>
      <c r="AC64" s="2286"/>
      <c r="AD64" s="2286"/>
      <c r="AE64" s="2286"/>
      <c r="AF64" s="2286"/>
      <c r="AG64" s="2286"/>
      <c r="AH64" s="2286"/>
      <c r="AI64" s="2286"/>
      <c r="AJ64" s="2286"/>
      <c r="AK64" s="2286"/>
      <c r="AL64" s="2286"/>
      <c r="AM64" s="2286"/>
      <c r="AS64" s="1156">
        <v>28</v>
      </c>
    </row>
    <row customHeight="1" ht="35.699999999999996">
      <c r="T65" s="2286"/>
      <c r="U65" s="2286"/>
      <c r="V65" s="2286"/>
      <c r="W65" s="2286"/>
      <c r="X65" s="2286"/>
      <c r="Y65" s="2286"/>
      <c r="Z65" s="2286"/>
      <c r="AA65" s="2286"/>
      <c r="AB65" s="2286"/>
      <c r="AC65" s="2286"/>
      <c r="AD65" s="2286"/>
      <c r="AE65" s="2286"/>
      <c r="AF65" s="2286"/>
      <c r="AG65" s="2286"/>
      <c r="AH65" s="2286"/>
      <c r="AI65" s="2286"/>
      <c r="AJ65" s="2286"/>
      <c r="AK65" s="2286"/>
      <c r="AL65" s="2286"/>
      <c r="AM65" s="2286"/>
      <c r="AS65" s="1156">
        <v>34</v>
      </c>
    </row>
    <row customHeight="1" ht="22.5" hidden="1">
      <c r="A66" s="1161" t="s">
        <v>83</v>
      </c>
      <c r="B66" s="1161">
        <v>0</v>
      </c>
      <c r="C66" s="1161">
        <v>0</v>
      </c>
      <c r="D66" s="1161">
        <v>0</v>
      </c>
      <c r="E66" s="1161">
        <v>0</v>
      </c>
      <c r="F66" s="1161">
        <v>0</v>
      </c>
      <c r="G66" s="1161">
        <v>0</v>
      </c>
      <c r="H66" s="1161">
        <v>0</v>
      </c>
      <c r="I66" s="1161">
        <v>0</v>
      </c>
      <c r="J66" s="1161">
        <v>0</v>
      </c>
      <c r="K66" s="1161">
        <v>0</v>
      </c>
      <c r="L66" s="1330">
        <v>0</v>
      </c>
      <c r="M66" s="1363">
        <v>0</v>
      </c>
      <c r="N66" s="1363">
        <v>0</v>
      </c>
      <c r="O66" s="1363">
        <v>0</v>
      </c>
      <c r="P66" s="1329">
        <v>0</v>
      </c>
      <c r="Q66" s="345">
        <v>3</v>
      </c>
      <c r="R66" s="345">
        <v>3</v>
      </c>
      <c r="S66" s="582">
        <v>12</v>
      </c>
      <c r="T66" s="1156">
        <v>31</v>
      </c>
      <c r="U66" s="1156">
        <v>0</v>
      </c>
      <c r="V66" s="1156">
        <v>0</v>
      </c>
      <c r="W66" s="1156">
        <v>0</v>
      </c>
      <c r="X66" s="1156">
        <v>0</v>
      </c>
      <c r="Y66" s="1156">
        <v>0</v>
      </c>
      <c r="Z66" s="1156">
        <v>0</v>
      </c>
      <c r="AA66" s="1156">
        <v>0</v>
      </c>
      <c r="AB66" s="1156">
        <v>0</v>
      </c>
      <c r="AC66" s="1156">
        <v>0</v>
      </c>
      <c r="AD66" s="1156">
        <v>24</v>
      </c>
      <c r="AE66" s="1156">
        <v>0</v>
      </c>
      <c r="AF66" s="1156">
        <v>24</v>
      </c>
      <c r="AG66" s="1156">
        <v>24</v>
      </c>
      <c r="AH66" s="1156">
        <v>11</v>
      </c>
      <c r="AI66" s="1156">
        <v>3</v>
      </c>
      <c r="AJ66" s="1156">
        <v>11</v>
      </c>
      <c r="AK66" s="1156">
        <v>0</v>
      </c>
      <c r="AL66" s="1156">
        <v>4</v>
      </c>
      <c r="AM66" s="1156">
        <v>115</v>
      </c>
      <c r="AN66" s="512">
        <v>10</v>
      </c>
      <c r="AO66" s="512">
        <v>10</v>
      </c>
      <c r="AP66" s="512">
        <v>10</v>
      </c>
      <c r="AQ66" s="512">
        <v>10</v>
      </c>
      <c r="AR66" s="512">
        <v>10</v>
      </c>
      <c r="AS66" s="1156">
        <v>23</v>
      </c>
    </row>
  </sheetData>
  <sheetProtection formatColumns="0" formatRows="0" autoFilter="0" sort="0" insertRows="0" insertColumns="1" deleteRows="0" deleteColumns="0"/>
  <mergeCells count="113">
    <mergeCell ref="T63:AM63"/>
    <mergeCell ref="T64:AM64"/>
    <mergeCell ref="T65:AM65"/>
    <mergeCell ref="AM49:AM51"/>
    <mergeCell ref="T59:AM59"/>
    <mergeCell ref="T60:AM60"/>
    <mergeCell ref="T61:AM61"/>
    <mergeCell ref="J48:J51"/>
    <mergeCell ref="Q48:Q51"/>
    <mergeCell ref="V48:AC48"/>
    <mergeCell ref="AD48:AL48"/>
    <mergeCell ref="K49:K50"/>
    <mergeCell ref="Z49:Z50"/>
    <mergeCell ref="AA49:AA50"/>
    <mergeCell ref="AB49:AB50"/>
    <mergeCell ref="AC49:AC50"/>
    <mergeCell ref="AH49:AH50"/>
    <mergeCell ref="AI49:AI50"/>
    <mergeCell ref="AJ49:AJ50"/>
    <mergeCell ref="AK49:AK50"/>
    <mergeCell ref="E43:E56"/>
    <mergeCell ref="V43:AC43"/>
    <mergeCell ref="AD43:AL43"/>
    <mergeCell ref="F44:F55"/>
    <mergeCell ref="V44:AC44"/>
    <mergeCell ref="AD44:AL44"/>
    <mergeCell ref="G45:G54"/>
    <mergeCell ref="V45:AC45"/>
    <mergeCell ref="AD45:AL45"/>
    <mergeCell ref="H46:H53"/>
    <mergeCell ref="V46:AC46"/>
    <mergeCell ref="AD46:AL46"/>
    <mergeCell ref="I47:I52"/>
    <mergeCell ref="P47:P52"/>
    <mergeCell ref="V47:AC47"/>
    <mergeCell ref="AD47:AL47"/>
    <mergeCell ref="AH40:AJ40"/>
    <mergeCell ref="AA41:AB41"/>
    <mergeCell ref="AI41:AJ41"/>
    <mergeCell ref="AA42:AB42"/>
    <mergeCell ref="AI42:AJ42"/>
    <mergeCell ref="S38:AL38"/>
    <mergeCell ref="AM38:AM41"/>
    <mergeCell ref="S39:S41"/>
    <mergeCell ref="T39:T41"/>
    <mergeCell ref="V39:AB39"/>
    <mergeCell ref="AC39:AC41"/>
    <mergeCell ref="AD39:AJ39"/>
    <mergeCell ref="AK39:AK41"/>
    <mergeCell ref="AL39:AL41"/>
    <mergeCell ref="V40:V41"/>
    <mergeCell ref="W40:W41"/>
    <mergeCell ref="X40:Y40"/>
    <mergeCell ref="Z40:AB40"/>
    <mergeCell ref="AD40:AD41"/>
    <mergeCell ref="AE40:AE41"/>
    <mergeCell ref="AF40:AG40"/>
    <mergeCell ref="S32:T32"/>
    <mergeCell ref="V32:AB32"/>
    <mergeCell ref="AD32:AJ32"/>
    <mergeCell ref="V37:AC37"/>
    <mergeCell ref="AD37:AK37"/>
    <mergeCell ref="S34:T34"/>
    <mergeCell ref="V34:AB34"/>
    <mergeCell ref="AD34:AJ34"/>
    <mergeCell ref="S35:T35"/>
    <mergeCell ref="V35:AB35"/>
    <mergeCell ref="AD35:AJ35"/>
    <mergeCell ref="S30:T30"/>
    <mergeCell ref="V30:AB30"/>
    <mergeCell ref="AD30:AJ30"/>
    <mergeCell ref="S31:T31"/>
    <mergeCell ref="V31:AB31"/>
    <mergeCell ref="AD31:AJ31"/>
    <mergeCell ref="S26:AJ26"/>
    <mergeCell ref="S27:AJ27"/>
    <mergeCell ref="S29:T29"/>
    <mergeCell ref="V29:AB29"/>
    <mergeCell ref="AD29:AJ29"/>
    <mergeCell ref="AM8:AM10"/>
    <mergeCell ref="AH17:AH18"/>
    <mergeCell ref="AI17:AI18"/>
    <mergeCell ref="AJ17:AJ18"/>
    <mergeCell ref="AK17:AK18"/>
    <mergeCell ref="J7:J10"/>
    <mergeCell ref="Q7:Q10"/>
    <mergeCell ref="V7:AC7"/>
    <mergeCell ref="AD7:AL7"/>
    <mergeCell ref="K8:K9"/>
    <mergeCell ref="Z8:Z9"/>
    <mergeCell ref="AA8:AA9"/>
    <mergeCell ref="AB8:AB9"/>
    <mergeCell ref="AC8:AC9"/>
    <mergeCell ref="AH8:AH9"/>
    <mergeCell ref="AI8:AI9"/>
    <mergeCell ref="AJ8:AJ9"/>
    <mergeCell ref="AK8:AK9"/>
    <mergeCell ref="E2:E15"/>
    <mergeCell ref="V2:AC2"/>
    <mergeCell ref="AD2:AL2"/>
    <mergeCell ref="F3:F14"/>
    <mergeCell ref="V3:AC3"/>
    <mergeCell ref="AD3:AL3"/>
    <mergeCell ref="G4:G13"/>
    <mergeCell ref="V4:AC4"/>
    <mergeCell ref="AD4:AL4"/>
    <mergeCell ref="H5:H12"/>
    <mergeCell ref="V5:AC5"/>
    <mergeCell ref="AD5:AL5"/>
    <mergeCell ref="I6:I11"/>
    <mergeCell ref="P6:P11"/>
    <mergeCell ref="V6:AC6"/>
    <mergeCell ref="AD6:AL6"/>
  </mergeCells>
  <dataValidations count="8">
    <dataValidation allowBlank="1" sqref="S131123:AM131129 S196659:AM196665 S262195:AM262201 S327731:AM327737 S393267:AM393273 S458803:AM458809 S524339:AM524345 S589875:AM589881 S655411:AM655417 S720947:AM720953 S786483:AM786489 S852019:AM852025 S917555:AM917561 S983091:AM983097 S65587:AM65593"/>
    <dataValidation type="list" allowBlank="1" showInputMessage="1" errorTitle="Ошибка" error="Выберите значение из списка" prompt="Выберите значение из списка" sqref="V983088:AL983088 V65584:AL65584 V131120:AL131120 V196656:AL196656 V262192:AL262192 V327728:AL327728 V393264:AL393264 V458800:AL458800 V524336:AL524336 V589872:AL589872 V655408:AL655408 V720944:AL720944 V786480:AL786480 V852016:AL852016 V917552:AL917552">
      <formula1>kind_of_cons</formula1>
    </dataValidation>
    <dataValidation type="list" allowBlank="1" showInputMessage="1" showErrorMessage="1" errorTitle="Ошибка" error="Выберите значение из списка" sqref="V983087:W983087 V65583:W65583 V131119:W131119 V196655:W196655 V262191:W262191 V327727:W327727 V393263:W393263 V458799:W458799 V524335:W524335 V589871:W589871 V655407:W655407 V720943:W720943 V786479:W786479 V852015:W852015 V917551:W917551 AD983087:AE983087 AD65583:AE65583 AD131119:AE131119 AD196655:AE196655 AD262191:AE262191 AD327727:AE327727 AD393263:AE393263 AD458799:AE458799 AD524335:AE524335 AD589871:AE589871 AD655407:AE655407 AD720943:AE720943 AD786479:AE786479 AD852015:AE852015 AD917551:AE917551">
      <formula1>kind_of_scheme_in</formula1>
    </dataValidation>
    <dataValidation type="textLength" operator="lessThanOrEqual" allowBlank="1" showInputMessage="1" showErrorMessage="1" errorTitle="Ошибка" error="Допускается ввод не более 900 символов!" sqref="AM65579:AM65586 AM131115:AM131122 AM196651:AM196658 AM262187:AM262194 AM327723:AM327730 AM393259:AM393266 AM458795:AM458802 AM524331:AM524338 AM589867:AM589874 AM655403:AM655410 AM720939:AM720946 AM786475:AM786482 AM852011:AM852018 AM917547:AM917554 AM983083:AM983090">
      <formula1>900</formula1>
    </dataValidation>
    <dataValidation type="list" allowBlank="1" showInputMessage="1" showErrorMessage="1" errorTitle="Ошибка" error="Выберите значение из списка" sqref="T65585 T131121 T196657 T262193 T327729 T393265 T458801 T524337 T589873 T655409 T720945 T786481 T852017 T917553 T983089">
      <formula1>kind_of_heat_transfer</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5 Z131121 Z196657 Z262193 Z327729 Z393265 Z458801 Z524337 Z589873 Z655409 Z720945 Z786481 Z852017 Z917553 Z983089 AB65585 AB131121 AB196657 AB262193 AB327729 AB393265 AB458801 AB524337 AB589873 AB655409 AB720945 AB786481 AB852017 AB917553 AB983089 Z8 AH65585 AH131121 AH196657 AH262193 AH327729 AH393265 AH458801 AH524337 AH589873 AH655409 AH720945 AH786481 AH852017 AH917553 AH983089 AJ65585 AJ131121 AJ196657 AJ262193 AJ327729 AJ393265 AJ458801 AJ524337 AJ589873 AJ655409 AJ720945 AJ786481 AJ852017 AJ917553 AJ983089 AJ49 AH49 AH8 AJ8 AB8 AH17 AJ17 Z49 AB49"/>
    <dataValidation allowBlank="1" showInputMessage="1" showErrorMessage="1" prompt="Для выбора выполните двойной щелчок левой клавиши мыши по соответствующей ячейке." sqref="AA65585 AA131121 AA196657 AA262193 AA327729 AA393265 AA458801 AA524337 AA589873 AA655409 AA720945 AA786481 AA852017 AA917553 AA983089 AC131121 AC458801 AC196657 AC262193 AC327729 AC393265 AC524337 AC589873 AC655409 AC720945 AC786481 AC852017 AC917553 AC983089 AC65585 AI65585 AI131121 AI196657 AI262193 AI327729 AI393265 AI458801 AI524337 AI589873 AI655409 AI720945 AI786481 AI852017 AI917553 AI983089 AK49 AK524337 AK8 AK589873 AK655409 AK17 AK720945 AK786481 AK852017 AK917553 AK983089 AK65585 AK131121 AK458801 AK196657 AI49 AK262193 AI8 AC8 AA8 AI17 AK327729 AA49 AC49 AK393265"/>
    <dataValidation allowBlank="1" promptTitle="checkPeriodRange" sqref="Y65586 Y131122 Y196658 Y262194 Y327730 Y393266 Y458802 Y524338 Y589874 Y655410 Y720946 Y786482 Y852018 Y917554 Y983090 Y9 AG65586 AG131122 AG196658 AG262194 AG327730 AG393266 AG458802 AG524338 AG589874 AG655410 AG720946 AG786482 AG852018 AG917554 AG983090 AG9 Y50 AG18 AG50"/>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D2C2C4F8-59F8-C0C8-C504-F2BDFD575DCE}" mc:Ignorable="x14ac xr xr2 xr3">
  <sheetPr>
    <tabColor theme="6" tint="0.4"/>
  </sheetPr>
  <dimension ref="A1:AS66"/>
  <sheetViews>
    <sheetView showGridLines="0" zoomScale="90" workbookViewId="0">
      <pane xSplit="29" ySplit="42" topLeftCell="AD43" activePane="bottomRight" state="frozen"/>
      <selection pane="bottomLeft" activeCell="A43" sqref="A43"/>
      <selection pane="topRight" activeCell="AD1" sqref="AD1"/>
      <selection pane="bottomRight" activeCell="A1" sqref="A1"/>
    </sheetView>
  </sheetViews>
  <sheetFormatPr defaultColWidth="10.57421875" customHeight="1" defaultRowHeight="14.25"/>
  <cols>
    <col min="1" max="1" style="1367" width="10.57421875" hidden="1"/>
    <col min="2" max="2" style="1367" width="11.00390625" hidden="1" customWidth="1"/>
    <col min="3" max="3" style="1367" width="10.57421875" hidden="1"/>
    <col min="4" max="4" style="1367" width="11.8515625" hidden="1" customWidth="1"/>
    <col min="5" max="5" style="1367" width="10.00390625" hidden="1" customWidth="1"/>
    <col min="6" max="6" style="1367" width="8.7109375" hidden="1" customWidth="1"/>
    <col min="7" max="7" style="1367" width="7.57421875" hidden="1" customWidth="1"/>
    <col min="8" max="8" style="1367" width="11.421875" hidden="1" customWidth="1"/>
    <col min="9" max="9" style="1367" width="12.00390625" hidden="1" customWidth="1"/>
    <col min="10" max="10" style="1367" width="9.8515625" hidden="1" customWidth="1"/>
    <col min="11" max="11" style="1367" width="11.421875" hidden="1" customWidth="1"/>
    <col min="12" max="12" style="2608" width="19.140625" hidden="1" customWidth="1"/>
    <col min="13" max="14" style="1777" width="12.28125" hidden="1" customWidth="1"/>
    <col min="15" max="15" style="1777" width="23.421875" hidden="1" customWidth="1"/>
    <col min="16" max="16" style="2398" width="3.7109375" hidden="1" customWidth="1"/>
    <col min="17" max="18" style="345" width="3.00390625" customWidth="1"/>
    <col min="19" max="19" style="2408" width="12.00390625" customWidth="1"/>
    <col min="20" max="20" style="1636" width="31.00390625" customWidth="1"/>
    <col min="21" max="21" style="1636" width="0.140625" customWidth="1"/>
    <col min="22" max="22" style="1636" width="24.7109375" hidden="1" customWidth="1"/>
    <col min="23" max="23" style="1636" width="0.140625" hidden="1" customWidth="1"/>
    <col min="24" max="25" style="1636" width="24.7109375" hidden="1" customWidth="1"/>
    <col min="26" max="26" style="1636" width="11.7109375" hidden="1" customWidth="1"/>
    <col min="27" max="27" style="1636" width="3.7109375" hidden="1" customWidth="1"/>
    <col min="28" max="28" style="1636" width="11.7109375" hidden="1" customWidth="1"/>
    <col min="29" max="29" style="1636" width="8.57421875" hidden="1" customWidth="1"/>
    <col min="30" max="30" style="1636" width="24.7109375" customWidth="1"/>
    <col min="31" max="31" style="1636" width="0.140625" customWidth="1"/>
    <col min="32" max="33" style="1636" width="24.00390625" customWidth="1"/>
    <col min="34" max="34" style="1636" width="11.00390625" customWidth="1"/>
    <col min="35" max="35" style="1636" width="3.7109375" customWidth="1"/>
    <col min="36" max="36" style="1636" width="11.00390625" customWidth="1"/>
    <col min="37" max="37" style="1636" width="8.57421875" hidden="1" customWidth="1"/>
    <col min="38" max="38" style="1636" width="4.00390625" customWidth="1"/>
    <col min="39" max="39" style="1636" width="115.00390625" customWidth="1"/>
    <col min="40" max="44" style="1643" width="10.00390625" customWidth="1"/>
    <col min="45" max="45" style="1636" width="10.57421875" hidden="1"/>
  </cols>
  <sheetData>
    <row customHeight="1" ht="22.5" hidden="1">
      <c r="Y1" s="328"/>
      <c r="Z1" s="328"/>
      <c r="AG1" s="328"/>
      <c r="AH1" s="328"/>
      <c r="AS1" s="1156" t="s">
        <v>14</v>
      </c>
    </row>
    <row customHeight="1" ht="21" hidden="1">
      <c r="A2" s="1364"/>
      <c r="B2" s="1364"/>
      <c r="C2" s="1364"/>
      <c r="D2" s="1364"/>
      <c r="E2" s="2259">
        <v>1</v>
      </c>
      <c r="F2" s="1364"/>
      <c r="G2" s="1364"/>
      <c r="H2" s="1364"/>
      <c r="I2" s="1364"/>
      <c r="J2" s="1364"/>
      <c r="K2" s="1364"/>
      <c r="L2" s="1365"/>
      <c r="M2" s="1366"/>
      <c r="N2" s="1366"/>
      <c r="O2" s="1366"/>
      <c r="P2" s="362"/>
      <c r="Q2" s="361"/>
      <c r="R2" s="356"/>
      <c r="S2" s="1337">
        <f>INDEX(PT_DIFFERENTIATION_NUM_NTAR,MATCH(A2,PT_DIFFERENTIATION_NTAR_ID,0))</f>
      </c>
      <c r="T2" s="299" t="s">
        <v>131</v>
      </c>
      <c r="U2" s="301"/>
      <c r="V2" s="2243"/>
      <c r="W2" s="2244"/>
      <c r="X2" s="2244"/>
      <c r="Y2" s="2244"/>
      <c r="Z2" s="2244"/>
      <c r="AA2" s="2244"/>
      <c r="AB2" s="2244"/>
      <c r="AC2" s="2245"/>
      <c r="AD2" s="2243">
        <f>INDEX(PT_DIFFERENTIATION_NTAR,MATCH(A2,PT_DIFFERENTIATION_NTAR_ID,0))</f>
      </c>
      <c r="AE2" s="2244"/>
      <c r="AF2" s="2244"/>
      <c r="AG2" s="2244"/>
      <c r="AH2" s="2244"/>
      <c r="AI2" s="2244"/>
      <c r="AJ2" s="2244"/>
      <c r="AK2" s="2244"/>
      <c r="AL2" s="2245"/>
      <c r="AM2" s="1259" t="s">
        <v>413</v>
      </c>
      <c r="AO2" s="501"/>
      <c r="AP2" s="501" t="str">
        <f>IF(T2="","",T2)</f>
        <v>Наименование тарифа</v>
      </c>
      <c r="AQ2" s="501"/>
      <c r="AR2" s="501"/>
      <c r="AS2" s="1156">
        <v>0</v>
      </c>
    </row>
    <row customHeight="1" ht="21" hidden="1">
      <c r="A3" s="1364"/>
      <c r="B3" s="1364"/>
      <c r="C3" s="1364"/>
      <c r="D3" s="1364"/>
      <c r="E3" s="2260"/>
      <c r="F3" s="2259">
        <v>1</v>
      </c>
      <c r="G3" s="1364"/>
      <c r="H3" s="1364"/>
      <c r="I3" s="1364"/>
      <c r="J3" s="1364"/>
      <c r="K3" s="1364"/>
      <c r="L3" s="1365"/>
      <c r="M3" s="1366"/>
      <c r="N3" s="1366"/>
      <c r="O3" s="1366"/>
      <c r="P3" s="1333"/>
      <c r="Q3" s="353"/>
      <c r="R3" s="354"/>
      <c r="S3" s="1337">
        <f>INDEX(PT_DIFFERENTIATION_NUM_TER,MATCH(B3,PT_DIFFERENTIATION_TER_ID,0))</f>
      </c>
      <c r="T3" s="309" t="s">
        <v>414</v>
      </c>
      <c r="U3" s="301"/>
      <c r="V3" s="2243"/>
      <c r="W3" s="2244"/>
      <c r="X3" s="2244"/>
      <c r="Y3" s="2244"/>
      <c r="Z3" s="2244"/>
      <c r="AA3" s="2244"/>
      <c r="AB3" s="2244"/>
      <c r="AC3" s="2245"/>
      <c r="AD3" s="2243">
        <f>INDEX(PT_DIFFERENTIATION_TER,MATCH(B3,PT_DIFFERENTIATION_TER_ID,0))</f>
      </c>
      <c r="AE3" s="2244"/>
      <c r="AF3" s="2244"/>
      <c r="AG3" s="2244"/>
      <c r="AH3" s="2244"/>
      <c r="AI3" s="2244"/>
      <c r="AJ3" s="2244"/>
      <c r="AK3" s="2244"/>
      <c r="AL3" s="2245"/>
      <c r="AM3" s="1259" t="s">
        <v>415</v>
      </c>
      <c r="AO3" s="501"/>
      <c r="AP3" s="501" t="str">
        <f>IF(T3="","",T3)</f>
        <v>Территория действия тарифа</v>
      </c>
      <c r="AQ3" s="501"/>
      <c r="AR3" s="501"/>
      <c r="AS3" s="1156">
        <v>0</v>
      </c>
    </row>
    <row customHeight="1" ht="23.25" hidden="1">
      <c r="A4" s="1364"/>
      <c r="B4" s="1364"/>
      <c r="C4" s="1364"/>
      <c r="D4" s="1364"/>
      <c r="E4" s="2260"/>
      <c r="F4" s="2260"/>
      <c r="G4" s="2259">
        <v>1</v>
      </c>
      <c r="H4" s="1364"/>
      <c r="I4" s="1364"/>
      <c r="J4" s="1364"/>
      <c r="K4" s="1364"/>
      <c r="L4" s="1365"/>
      <c r="M4" s="1366"/>
      <c r="N4" s="1366"/>
      <c r="O4" s="1366"/>
      <c r="P4" s="355"/>
      <c r="Q4" s="353"/>
      <c r="R4" s="354"/>
      <c r="S4" s="1337">
        <f>INDEX(PT_DIFFERENTIATION_NUM_CS,MATCH(C4,PT_DIFFERENTIATION_CS_ID,0))</f>
      </c>
      <c r="T4" s="310" t="s">
        <v>416</v>
      </c>
      <c r="U4" s="301"/>
      <c r="V4" s="2243"/>
      <c r="W4" s="2244"/>
      <c r="X4" s="2244"/>
      <c r="Y4" s="2244"/>
      <c r="Z4" s="2244"/>
      <c r="AA4" s="2244"/>
      <c r="AB4" s="2244"/>
      <c r="AC4" s="2245"/>
      <c r="AD4" s="2243">
        <f>INDEX(PT_DIFFERENTIATION_CS,MATCH(C4,PT_DIFFERENTIATION_CS_ID,0))</f>
      </c>
      <c r="AE4" s="2244"/>
      <c r="AF4" s="2244"/>
      <c r="AG4" s="2244"/>
      <c r="AH4" s="2244"/>
      <c r="AI4" s="2244"/>
      <c r="AJ4" s="2244"/>
      <c r="AK4" s="2244"/>
      <c r="AL4" s="2245"/>
      <c r="AM4" s="1259" t="s">
        <v>417</v>
      </c>
      <c r="AO4" s="501"/>
      <c r="AP4" s="501" t="str">
        <f>IF(T4="","",T4)</f>
        <v>Наименование системы теплоснабжения </v>
      </c>
      <c r="AQ4" s="501"/>
      <c r="AR4" s="501"/>
      <c r="AS4" s="1156">
        <v>0</v>
      </c>
    </row>
    <row customHeight="1" ht="21" hidden="1">
      <c r="A5" s="1364"/>
      <c r="B5" s="1364"/>
      <c r="C5" s="1364"/>
      <c r="D5" s="1364"/>
      <c r="E5" s="2260"/>
      <c r="F5" s="2260"/>
      <c r="G5" s="2260"/>
      <c r="H5" s="2259">
        <v>1</v>
      </c>
      <c r="I5" s="1364"/>
      <c r="J5" s="1364"/>
      <c r="K5" s="1364"/>
      <c r="L5" s="1365"/>
      <c r="M5" s="1366"/>
      <c r="N5" s="1366"/>
      <c r="O5" s="1366"/>
      <c r="P5" s="355"/>
      <c r="Q5" s="353"/>
      <c r="R5" s="354"/>
      <c r="S5" s="1337">
        <f>INDEX(PT_DIFFERENTIATION_NUM_IST_TE,MATCH(D5,PT_DIFFERENTIATION_IST_TE_ID,0))</f>
      </c>
      <c r="T5" s="311" t="s">
        <v>418</v>
      </c>
      <c r="U5" s="301"/>
      <c r="V5" s="2243"/>
      <c r="W5" s="2244"/>
      <c r="X5" s="2244"/>
      <c r="Y5" s="2244"/>
      <c r="Z5" s="2244"/>
      <c r="AA5" s="2244"/>
      <c r="AB5" s="2244"/>
      <c r="AC5" s="2245"/>
      <c r="AD5" s="2243">
        <f>INDEX(PT_DIFFERENTIATION_IST_TE,MATCH(D5,PT_DIFFERENTIATION_IST_TE_ID,0))</f>
      </c>
      <c r="AE5" s="2244"/>
      <c r="AF5" s="2244"/>
      <c r="AG5" s="2244"/>
      <c r="AH5" s="2244"/>
      <c r="AI5" s="2244"/>
      <c r="AJ5" s="2244"/>
      <c r="AK5" s="2244"/>
      <c r="AL5" s="2245"/>
      <c r="AM5" s="1259" t="s">
        <v>419</v>
      </c>
      <c r="AO5" s="501"/>
      <c r="AP5" s="501" t="str">
        <f>IF(T5="","",T5)</f>
        <v>Источник тепловой энергии  </v>
      </c>
      <c r="AQ5" s="501"/>
      <c r="AR5" s="501"/>
      <c r="AS5" s="1156">
        <v>0</v>
      </c>
    </row>
    <row customHeight="1" ht="14.25" hidden="1">
      <c r="A6" s="1364"/>
      <c r="B6" s="1364"/>
      <c r="C6" s="1364"/>
      <c r="D6" s="1364"/>
      <c r="E6" s="2260"/>
      <c r="F6" s="2260"/>
      <c r="G6" s="2260"/>
      <c r="H6" s="2260"/>
      <c r="I6" s="2257">
        <f>S5&amp;".1"</f>
      </c>
      <c r="J6" s="1364"/>
      <c r="K6" s="1364"/>
      <c r="L6" s="1365" t="s">
        <v>420</v>
      </c>
      <c r="M6" s="538"/>
      <c r="P6" s="2258">
        <v>1</v>
      </c>
      <c r="Q6" s="1332"/>
      <c r="R6" s="357"/>
      <c r="S6" s="1043"/>
      <c r="T6" s="1384"/>
      <c r="U6" s="1385"/>
      <c r="V6" s="2297"/>
      <c r="W6" s="2298"/>
      <c r="X6" s="2298"/>
      <c r="Y6" s="2298"/>
      <c r="Z6" s="2298"/>
      <c r="AA6" s="2298"/>
      <c r="AB6" s="2298"/>
      <c r="AC6" s="2299"/>
      <c r="AD6" s="2297"/>
      <c r="AE6" s="2298"/>
      <c r="AF6" s="2298"/>
      <c r="AG6" s="2298"/>
      <c r="AH6" s="2298"/>
      <c r="AI6" s="2298"/>
      <c r="AJ6" s="2298"/>
      <c r="AK6" s="2298"/>
      <c r="AL6" s="2299"/>
      <c r="AM6" s="1386"/>
      <c r="AO6" s="501"/>
      <c r="AP6" s="501" t="str">
        <f>IF(T6="","",T6)</f>
        <v/>
      </c>
      <c r="AQ6" s="501"/>
      <c r="AR6" s="501"/>
      <c r="AS6" s="1156">
        <v>0</v>
      </c>
    </row>
    <row customHeight="1" ht="21" hidden="1">
      <c r="A7" s="1364"/>
      <c r="B7" s="1364"/>
      <c r="C7" s="1364"/>
      <c r="D7" s="1364"/>
      <c r="E7" s="2260"/>
      <c r="F7" s="2260"/>
      <c r="G7" s="2260"/>
      <c r="H7" s="2260"/>
      <c r="I7" s="2287"/>
      <c r="J7" s="2257">
        <f>I6&amp;".1"</f>
      </c>
      <c r="K7" s="1364"/>
      <c r="L7" s="1365" t="s">
        <v>423</v>
      </c>
      <c r="M7" s="538"/>
      <c r="N7" s="1367"/>
      <c r="P7" s="2258"/>
      <c r="Q7" s="2258">
        <v>1</v>
      </c>
      <c r="R7" s="358"/>
      <c r="S7" s="1337">
        <f>$J7</f>
      </c>
      <c r="T7" s="287" t="s">
        <v>424</v>
      </c>
      <c r="U7" s="301"/>
      <c r="V7" s="2246"/>
      <c r="W7" s="2247"/>
      <c r="X7" s="2247"/>
      <c r="Y7" s="2247"/>
      <c r="Z7" s="2247"/>
      <c r="AA7" s="2247"/>
      <c r="AB7" s="2247"/>
      <c r="AC7" s="2248"/>
      <c r="AD7" s="2246"/>
      <c r="AE7" s="2247"/>
      <c r="AF7" s="2247"/>
      <c r="AG7" s="2247"/>
      <c r="AH7" s="2247"/>
      <c r="AI7" s="2247"/>
      <c r="AJ7" s="2247"/>
      <c r="AK7" s="2247"/>
      <c r="AL7" s="2248"/>
      <c r="AM7" s="1259" t="s">
        <v>425</v>
      </c>
      <c r="AO7" s="501"/>
      <c r="AP7" s="501" t="str">
        <f>IF(T7="","",T7)</f>
        <v>Группа потребителей</v>
      </c>
      <c r="AQ7" s="501"/>
      <c r="AR7" s="501"/>
      <c r="AS7" s="1156">
        <v>0</v>
      </c>
    </row>
    <row customHeight="1" ht="21" hidden="1">
      <c r="A8" s="1364"/>
      <c r="B8" s="1364"/>
      <c r="C8" s="1364"/>
      <c r="D8" s="1364"/>
      <c r="E8" s="2260"/>
      <c r="F8" s="2260"/>
      <c r="G8" s="2260"/>
      <c r="H8" s="2260"/>
      <c r="I8" s="2287"/>
      <c r="J8" s="2287"/>
      <c r="K8" s="2257">
        <f>J7&amp;".1"</f>
      </c>
      <c r="L8" s="1365" t="s">
        <v>426</v>
      </c>
      <c r="M8" s="538"/>
      <c r="N8" s="1367"/>
      <c r="O8" s="1367"/>
      <c r="P8" s="2258"/>
      <c r="Q8" s="2258"/>
      <c r="R8" s="358">
        <v>1</v>
      </c>
      <c r="S8" s="1337">
        <f>$K8</f>
      </c>
      <c r="T8" s="1348"/>
      <c r="U8" s="301"/>
      <c r="V8" s="752"/>
      <c r="W8" s="326"/>
      <c r="X8" s="752"/>
      <c r="Y8" s="1258"/>
      <c r="Z8" s="2266"/>
      <c r="AA8" s="2108" t="s">
        <v>61</v>
      </c>
      <c r="AB8" s="2266"/>
      <c r="AC8" s="2108" t="s">
        <v>61</v>
      </c>
      <c r="AD8" s="752"/>
      <c r="AE8" s="326"/>
      <c r="AF8" s="752"/>
      <c r="AG8" s="1258"/>
      <c r="AH8" s="2266"/>
      <c r="AI8" s="2108" t="s">
        <v>61</v>
      </c>
      <c r="AJ8" s="2266"/>
      <c r="AK8" s="2108" t="s">
        <v>61</v>
      </c>
      <c r="AL8" s="326"/>
      <c r="AM8" s="2254" t="s">
        <v>427</v>
      </c>
      <c r="AN8" s="512">
        <f>STRCHECKDATE(V9:AL9)</f>
      </c>
      <c r="AO8" s="501"/>
      <c r="AP8" s="501" t="str">
        <f>IF(T8="","",T8)</f>
        <v/>
      </c>
      <c r="AQ8" s="501"/>
      <c r="AR8" s="501"/>
      <c r="AS8" s="1156">
        <v>0</v>
      </c>
    </row>
    <row customHeight="1" ht="14.25" hidden="1">
      <c r="A9" s="1364"/>
      <c r="B9" s="1364"/>
      <c r="C9" s="1364"/>
      <c r="D9" s="1364"/>
      <c r="E9" s="2260"/>
      <c r="F9" s="2260"/>
      <c r="G9" s="2260"/>
      <c r="H9" s="2260"/>
      <c r="I9" s="2287"/>
      <c r="J9" s="2287"/>
      <c r="K9" s="2257"/>
      <c r="L9" s="1365"/>
      <c r="M9" s="538"/>
      <c r="N9" s="1367"/>
      <c r="O9" s="1367"/>
      <c r="P9" s="2258"/>
      <c r="Q9" s="2258"/>
      <c r="R9" s="358"/>
      <c r="S9" s="1343"/>
      <c r="T9" s="301"/>
      <c r="U9" s="301"/>
      <c r="V9" s="326"/>
      <c r="W9" s="326"/>
      <c r="X9" s="326"/>
      <c r="Y9" s="329" t="str">
        <f>Z8&amp;"-"&amp;AB8</f>
        <v>-</v>
      </c>
      <c r="Z9" s="2267"/>
      <c r="AA9" s="2108"/>
      <c r="AB9" s="2267"/>
      <c r="AC9" s="2108"/>
      <c r="AD9" s="326"/>
      <c r="AE9" s="326"/>
      <c r="AF9" s="326"/>
      <c r="AG9" s="329" t="str">
        <f>AH8&amp;"-"&amp;AJ8</f>
        <v>-</v>
      </c>
      <c r="AH9" s="2267"/>
      <c r="AI9" s="2108"/>
      <c r="AJ9" s="2267"/>
      <c r="AK9" s="2108"/>
      <c r="AL9" s="326"/>
      <c r="AM9" s="2255"/>
      <c r="AO9" s="501"/>
      <c r="AP9" s="501" t="str">
        <f>IF(T9="","",T9)</f>
        <v/>
      </c>
      <c r="AQ9" s="501"/>
      <c r="AR9" s="501"/>
      <c r="AS9" s="1156">
        <v>0</v>
      </c>
    </row>
    <row customHeight="1" ht="15" hidden="1">
      <c r="A10" s="1364"/>
      <c r="B10" s="1364"/>
      <c r="C10" s="1364"/>
      <c r="D10" s="1364"/>
      <c r="E10" s="2260"/>
      <c r="F10" s="2260"/>
      <c r="G10" s="2260"/>
      <c r="H10" s="2260"/>
      <c r="I10" s="2287"/>
      <c r="J10" s="2257"/>
      <c r="K10" s="1364"/>
      <c r="L10" s="1365"/>
      <c r="M10" s="538"/>
      <c r="N10" s="1367"/>
      <c r="P10" s="2258"/>
      <c r="Q10" s="2258"/>
      <c r="R10" s="357"/>
      <c r="S10" s="1279"/>
      <c r="T10" s="288" t="s">
        <v>428</v>
      </c>
      <c r="U10" s="368"/>
      <c r="V10" s="368"/>
      <c r="W10" s="368"/>
      <c r="X10" s="368"/>
      <c r="Y10" s="368"/>
      <c r="Z10" s="368"/>
      <c r="AA10" s="368"/>
      <c r="AB10" s="368"/>
      <c r="AC10" s="368"/>
      <c r="AD10" s="368"/>
      <c r="AE10" s="368"/>
      <c r="AF10" s="368"/>
      <c r="AG10" s="368"/>
      <c r="AH10" s="368"/>
      <c r="AI10" s="368"/>
      <c r="AJ10" s="368"/>
      <c r="AK10" s="368"/>
      <c r="AL10" s="325"/>
      <c r="AM10" s="2256"/>
      <c r="AO10" s="501"/>
      <c r="AP10" s="501" t="str">
        <f>IF(T10="","",T10)</f>
        <v>Добавить вид теплоносителя (параметры теплоносителя)</v>
      </c>
      <c r="AQ10" s="501"/>
      <c r="AR10" s="501"/>
      <c r="AS10" s="1156">
        <v>0</v>
      </c>
    </row>
    <row customHeight="1" ht="11.25" hidden="1">
      <c r="A11" s="1364"/>
      <c r="B11" s="1364"/>
      <c r="C11" s="1364"/>
      <c r="D11" s="1364"/>
      <c r="E11" s="2260"/>
      <c r="F11" s="2260"/>
      <c r="G11" s="2260"/>
      <c r="H11" s="2260"/>
      <c r="I11" s="2257"/>
      <c r="J11" s="1364"/>
      <c r="K11" s="1364"/>
      <c r="L11" s="1365"/>
      <c r="M11" s="538"/>
      <c r="P11" s="2258"/>
      <c r="Q11" s="1332"/>
      <c r="R11" s="357"/>
      <c r="S11" s="1279"/>
      <c r="T11" s="366" t="s">
        <v>429</v>
      </c>
      <c r="U11" s="368"/>
      <c r="V11" s="368"/>
      <c r="W11" s="368"/>
      <c r="X11" s="368"/>
      <c r="Y11" s="368"/>
      <c r="Z11" s="368"/>
      <c r="AA11" s="368"/>
      <c r="AB11" s="368"/>
      <c r="AC11" s="367"/>
      <c r="AD11" s="368"/>
      <c r="AE11" s="368"/>
      <c r="AF11" s="368"/>
      <c r="AG11" s="368"/>
      <c r="AH11" s="368"/>
      <c r="AI11" s="368"/>
      <c r="AJ11" s="368"/>
      <c r="AK11" s="367"/>
      <c r="AL11" s="368"/>
      <c r="AM11" s="304"/>
      <c r="AO11" s="501"/>
      <c r="AP11" s="501" t="str">
        <f>IF(T11="","",T11)</f>
        <v>Добавить группу потребителей</v>
      </c>
      <c r="AQ11" s="501"/>
      <c r="AR11" s="501"/>
      <c r="AS11" s="1156">
        <v>0</v>
      </c>
    </row>
    <row customHeight="1" ht="14.25" hidden="1">
      <c r="A12" s="1364"/>
      <c r="B12" s="1364"/>
      <c r="C12" s="1364"/>
      <c r="D12" s="1364"/>
      <c r="E12" s="2260"/>
      <c r="F12" s="2260"/>
      <c r="G12" s="2260"/>
      <c r="H12" s="2259"/>
      <c r="I12" s="1364"/>
      <c r="J12" s="1364"/>
      <c r="K12" s="1364"/>
      <c r="L12" s="1365"/>
      <c r="M12" s="1366"/>
      <c r="N12" s="1366"/>
      <c r="O12" s="538"/>
      <c r="P12" s="361"/>
      <c r="Q12" s="376"/>
      <c r="R12" s="356"/>
      <c r="S12" s="1387"/>
      <c r="T12" s="1388"/>
      <c r="U12" s="1389"/>
      <c r="V12" s="1389"/>
      <c r="W12" s="1389"/>
      <c r="X12" s="1389"/>
      <c r="Y12" s="1389"/>
      <c r="Z12" s="1389"/>
      <c r="AA12" s="1389"/>
      <c r="AB12" s="1389"/>
      <c r="AC12" s="1389"/>
      <c r="AD12" s="1389"/>
      <c r="AE12" s="1389"/>
      <c r="AF12" s="1389"/>
      <c r="AG12" s="1389"/>
      <c r="AH12" s="1389"/>
      <c r="AI12" s="1389"/>
      <c r="AJ12" s="1389"/>
      <c r="AK12" s="1389"/>
      <c r="AL12" s="1389"/>
      <c r="AM12" s="1390"/>
      <c r="AO12" s="501"/>
      <c r="AP12" s="501" t="str">
        <f>IF(T12="","",T12)</f>
        <v/>
      </c>
      <c r="AQ12" s="501"/>
      <c r="AR12" s="501"/>
      <c r="AS12" s="1156">
        <v>0</v>
      </c>
    </row>
    <row s="1643" customFormat="1" customHeight="1" ht="14.25" hidden="1">
      <c r="A13" s="1315"/>
      <c r="B13" s="1315"/>
      <c r="C13" s="1315"/>
      <c r="D13" s="1315"/>
      <c r="E13" s="2260"/>
      <c r="F13" s="2260"/>
      <c r="G13" s="2259"/>
      <c r="H13" s="1315"/>
      <c r="I13" s="1315"/>
      <c r="J13" s="1315"/>
      <c r="K13" s="1315"/>
      <c r="L13" s="1340"/>
      <c r="M13" s="1316"/>
      <c r="N13" s="1316"/>
      <c r="P13" s="1317"/>
      <c r="Q13" s="1318"/>
      <c r="R13" s="1317"/>
      <c r="S13" s="1319"/>
      <c r="T13" s="1320" t="s">
        <v>176</v>
      </c>
      <c r="U13" s="1321"/>
      <c r="V13" s="1321"/>
      <c r="W13" s="1321"/>
      <c r="X13" s="1321"/>
      <c r="Y13" s="1321"/>
      <c r="Z13" s="1321"/>
      <c r="AA13" s="1321"/>
      <c r="AB13" s="1321"/>
      <c r="AC13" s="1321"/>
      <c r="AD13" s="1321"/>
      <c r="AE13" s="1321"/>
      <c r="AF13" s="1321"/>
      <c r="AG13" s="1321"/>
      <c r="AH13" s="1321"/>
      <c r="AI13" s="1321"/>
      <c r="AJ13" s="1321"/>
      <c r="AK13" s="1321"/>
      <c r="AL13" s="1321"/>
      <c r="AM13" s="1321"/>
      <c r="AO13" s="790"/>
      <c r="AP13" s="790" t="str">
        <f>IF(T13="","",T13)</f>
        <v>Добавить источник для дифференциации</v>
      </c>
      <c r="AQ13" s="790"/>
      <c r="AR13" s="790"/>
      <c r="AS13" s="519">
        <v>0</v>
      </c>
    </row>
    <row s="1643" customFormat="1" customHeight="1" ht="14.25" hidden="1">
      <c r="A14" s="1315"/>
      <c r="B14" s="1315"/>
      <c r="C14" s="1315"/>
      <c r="D14" s="1315"/>
      <c r="E14" s="2260"/>
      <c r="F14" s="2259"/>
      <c r="G14" s="1315"/>
      <c r="H14" s="1315"/>
      <c r="I14" s="1315"/>
      <c r="J14" s="1315"/>
      <c r="K14" s="1315"/>
      <c r="L14" s="1340"/>
      <c r="M14" s="1322"/>
      <c r="N14" s="1322"/>
      <c r="P14" s="1317"/>
      <c r="Q14" s="1318"/>
      <c r="R14" s="1317"/>
      <c r="S14" s="1323"/>
      <c r="T14" s="1324" t="s">
        <v>177</v>
      </c>
      <c r="U14" s="1325"/>
      <c r="V14" s="1325"/>
      <c r="W14" s="1325"/>
      <c r="X14" s="1325"/>
      <c r="Y14" s="1325"/>
      <c r="Z14" s="1325"/>
      <c r="AA14" s="1325"/>
      <c r="AB14" s="1325"/>
      <c r="AC14" s="1325"/>
      <c r="AD14" s="1325"/>
      <c r="AE14" s="1325"/>
      <c r="AF14" s="1325"/>
      <c r="AG14" s="1325"/>
      <c r="AH14" s="1325"/>
      <c r="AI14" s="1325"/>
      <c r="AJ14" s="1325"/>
      <c r="AK14" s="1325"/>
      <c r="AL14" s="1325"/>
      <c r="AM14" s="1325"/>
      <c r="AO14" s="790"/>
      <c r="AP14" s="790" t="str">
        <f>IF(T14="","",T14)</f>
        <v>Добавить централизованную систему для дифференциации</v>
      </c>
      <c r="AQ14" s="790"/>
      <c r="AR14" s="790"/>
      <c r="AS14" s="519">
        <v>0</v>
      </c>
    </row>
    <row s="1643" customFormat="1" customHeight="1" ht="14.25" hidden="1">
      <c r="A15" s="1315"/>
      <c r="B15" s="1315"/>
      <c r="C15" s="1315"/>
      <c r="D15" s="1315"/>
      <c r="E15" s="2259"/>
      <c r="F15" s="1315"/>
      <c r="G15" s="1315"/>
      <c r="H15" s="1315"/>
      <c r="I15" s="1315"/>
      <c r="J15" s="1315"/>
      <c r="K15" s="1315"/>
      <c r="L15" s="1340"/>
      <c r="M15" s="1322"/>
      <c r="N15" s="1322"/>
      <c r="P15" s="1317"/>
      <c r="Q15" s="1318"/>
      <c r="R15" s="1317"/>
      <c r="S15" s="1323"/>
      <c r="T15" s="1326" t="s">
        <v>178</v>
      </c>
      <c r="U15" s="1325"/>
      <c r="V15" s="1325"/>
      <c r="W15" s="1325"/>
      <c r="X15" s="1325"/>
      <c r="Y15" s="1325"/>
      <c r="Z15" s="1325"/>
      <c r="AA15" s="1325"/>
      <c r="AB15" s="1325"/>
      <c r="AC15" s="1325"/>
      <c r="AD15" s="1325"/>
      <c r="AE15" s="1325"/>
      <c r="AF15" s="1325"/>
      <c r="AG15" s="1325"/>
      <c r="AH15" s="1325"/>
      <c r="AI15" s="1325"/>
      <c r="AJ15" s="1325"/>
      <c r="AK15" s="1325"/>
      <c r="AL15" s="1325"/>
      <c r="AM15" s="1325"/>
      <c r="AO15" s="790"/>
      <c r="AP15" s="790" t="str">
        <f>IF(T15="","",T15)</f>
        <v>Добавить территорию для дифференциации</v>
      </c>
      <c r="AQ15" s="790"/>
      <c r="AR15" s="790"/>
      <c r="AS15" s="519">
        <v>0</v>
      </c>
    </row>
    <row customHeight="1" ht="14.25" hidden="1">
      <c r="AC16" s="328"/>
      <c r="AK16" s="328"/>
      <c r="AS16" s="1156">
        <v>0</v>
      </c>
    </row>
    <row customHeight="1" ht="14.25" hidden="1">
      <c r="AD17" s="1361"/>
      <c r="AE17" s="1361"/>
      <c r="AF17" s="1361"/>
      <c r="AG17" s="1362"/>
      <c r="AH17" s="2268"/>
      <c r="AI17" s="2269" t="s">
        <v>61</v>
      </c>
      <c r="AJ17" s="2268"/>
      <c r="AK17" s="2269" t="s">
        <v>61</v>
      </c>
      <c r="AS17" s="1156">
        <v>0</v>
      </c>
    </row>
    <row customHeight="1" ht="14.25" hidden="1">
      <c r="AD18" s="1361"/>
      <c r="AE18" s="1361"/>
      <c r="AF18" s="1361"/>
      <c r="AG18" s="329" t="str">
        <f>AH17&amp;"-"&amp;AJ17</f>
        <v>-</v>
      </c>
      <c r="AH18" s="2269"/>
      <c r="AI18" s="2269"/>
      <c r="AJ18" s="2269"/>
      <c r="AK18" s="2269"/>
      <c r="AS18" s="1156">
        <v>0</v>
      </c>
    </row>
    <row customHeight="1" ht="14.25" hidden="1">
      <c r="AK19" s="328"/>
      <c r="AS19" s="1156">
        <v>0</v>
      </c>
    </row>
    <row s="1367" customFormat="1" customHeight="1" ht="22.5" hidden="1">
      <c r="L20" s="1330"/>
      <c r="M20" s="1363"/>
      <c r="N20" s="1363"/>
      <c r="O20" s="1368" t="s">
        <v>431</v>
      </c>
      <c r="P20" s="1363"/>
      <c r="Q20" s="1372"/>
      <c r="R20" s="1372"/>
      <c r="S20" s="730"/>
      <c r="Z20" s="1368"/>
      <c r="AB20" s="1368"/>
      <c r="AC20" s="1367"/>
      <c r="AH20" s="1368"/>
      <c r="AJ20" s="1368"/>
      <c r="AK20" s="1367"/>
      <c r="AN20" s="512"/>
      <c r="AO20" s="512"/>
      <c r="AP20" s="512"/>
      <c r="AQ20" s="512"/>
      <c r="AR20" s="512"/>
      <c r="AS20" s="1161">
        <v>0</v>
      </c>
    </row>
    <row s="1367" customFormat="1" customHeight="1" ht="14.25" hidden="1">
      <c r="L21" s="1330"/>
      <c r="M21" s="1363"/>
      <c r="N21" s="1363"/>
      <c r="O21" s="1363"/>
      <c r="P21" s="1363"/>
      <c r="Q21" s="1372"/>
      <c r="R21" s="1372"/>
      <c r="S21" s="730"/>
      <c r="AC21" s="1367"/>
      <c r="AK21" s="1367"/>
      <c r="AN21" s="512"/>
      <c r="AO21" s="512"/>
      <c r="AP21" s="512"/>
      <c r="AQ21" s="512"/>
      <c r="AR21" s="512"/>
      <c r="AS21" s="1161">
        <v>0</v>
      </c>
    </row>
    <row s="1367" customFormat="1" customHeight="1" ht="14.25" hidden="1">
      <c r="L22" s="1330"/>
      <c r="M22" s="1363"/>
      <c r="N22" s="1363"/>
      <c r="O22" s="1365" t="s">
        <v>432</v>
      </c>
      <c r="P22" s="1363"/>
      <c r="Q22" s="1372"/>
      <c r="R22" s="1372"/>
      <c r="S22" s="730"/>
      <c r="T22" s="1161" t="s">
        <v>433</v>
      </c>
      <c r="AA22" s="187" t="s">
        <v>434</v>
      </c>
      <c r="AC22" s="187" t="s">
        <v>435</v>
      </c>
      <c r="AD22" s="1161" t="s">
        <v>433</v>
      </c>
      <c r="AI22" s="187" t="s">
        <v>436</v>
      </c>
      <c r="AK22" s="187" t="s">
        <v>435</v>
      </c>
      <c r="AN22" s="512"/>
      <c r="AO22" s="512"/>
      <c r="AP22" s="512"/>
      <c r="AQ22" s="512"/>
      <c r="AR22" s="512"/>
      <c r="AS22" s="1161">
        <v>0</v>
      </c>
    </row>
    <row customHeight="1" ht="14.25" hidden="1">
      <c r="O23" s="1365"/>
      <c r="AS23" s="1156">
        <v>0</v>
      </c>
    </row>
    <row customHeight="1" ht="14.25" hidden="1">
      <c r="O24" s="1365"/>
      <c r="AS24" s="1156">
        <v>0</v>
      </c>
    </row>
    <row customHeight="1" ht="14.699999999999998">
      <c r="Q25" s="377"/>
      <c r="R25" s="377"/>
      <c r="S25" s="1276"/>
      <c r="T25" s="364"/>
      <c r="U25" s="364"/>
      <c r="V25" s="510"/>
      <c r="W25" s="510"/>
      <c r="X25" s="510"/>
      <c r="Y25" s="510"/>
      <c r="Z25" s="510"/>
      <c r="AA25" s="510"/>
      <c r="AB25" s="510"/>
      <c r="AC25" s="510"/>
      <c r="AD25" s="510"/>
      <c r="AE25" s="510"/>
      <c r="AF25" s="510"/>
      <c r="AG25" s="510"/>
      <c r="AH25" s="510"/>
      <c r="AI25" s="510"/>
      <c r="AJ25" s="510"/>
      <c r="AK25" s="510"/>
      <c r="AS25" s="1156">
        <v>14</v>
      </c>
    </row>
    <row customHeight="1" ht="53.54999999999999">
      <c r="Q26" s="377"/>
      <c r="R26" s="377"/>
      <c r="S26" s="2249" t="str">
        <f>IF(TEMPLATE_GROUP="P",PT_P_FORM_HEAT_5_NAME_FORM,PT_R_FORM_HEAT_22_NAME_FORM)</f>
        <v>Форма 20. Информация о предложении регулируемой организации о расчетной величине тарифов на теплоноситель, поставляемый теплоснабжающими организациями потребителям, другим теплоснабжающим организациям, тарифов на услуги по передаче тепловой энергии, теплоносителя, о расчетной величине тарифов на теплоноситель в виде воды, поставляемый другим теплоснабжающим организациям в ценовых зонах теплоснабжения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v>
      </c>
      <c r="T26" s="2249"/>
      <c r="U26" s="2249"/>
      <c r="V26" s="2249"/>
      <c r="W26" s="2249"/>
      <c r="X26" s="2249"/>
      <c r="Y26" s="2249"/>
      <c r="Z26" s="2249"/>
      <c r="AA26" s="2249"/>
      <c r="AB26" s="2249"/>
      <c r="AC26" s="2249"/>
      <c r="AD26" s="2249"/>
      <c r="AE26" s="2249"/>
      <c r="AF26" s="2249"/>
      <c r="AG26" s="2249"/>
      <c r="AH26" s="2249"/>
      <c r="AI26" s="2249"/>
      <c r="AJ26" s="2249"/>
      <c r="AK26" s="1244"/>
      <c r="AS26" s="1156">
        <v>51</v>
      </c>
    </row>
    <row customHeight="1" ht="14.699999999999998">
      <c r="Q27" s="377"/>
      <c r="R27" s="377"/>
      <c r="S27" s="2250" t="str">
        <f>IF(org=0,"Не определено",org)</f>
        <v>ПАО "КГК"</v>
      </c>
      <c r="T27" s="2250"/>
      <c r="U27" s="2250"/>
      <c r="V27" s="2250"/>
      <c r="W27" s="2250"/>
      <c r="X27" s="2250"/>
      <c r="Y27" s="2250"/>
      <c r="Z27" s="2250"/>
      <c r="AA27" s="2250"/>
      <c r="AB27" s="2250"/>
      <c r="AC27" s="2250"/>
      <c r="AD27" s="2250"/>
      <c r="AE27" s="2250"/>
      <c r="AF27" s="2250"/>
      <c r="AG27" s="2250"/>
      <c r="AH27" s="2250"/>
      <c r="AI27" s="2250"/>
      <c r="AJ27" s="2250"/>
      <c r="AK27" s="1244"/>
      <c r="AS27" s="1156">
        <v>14</v>
      </c>
    </row>
    <row customHeight="1" ht="14.25" hidden="1">
      <c r="Q28" s="377"/>
      <c r="R28" s="377"/>
      <c r="S28" s="1276"/>
      <c r="T28" s="364"/>
      <c r="U28" s="364"/>
      <c r="V28" s="323"/>
      <c r="W28" s="323"/>
      <c r="X28" s="323"/>
      <c r="Y28" s="323"/>
      <c r="Z28" s="323"/>
      <c r="AA28" s="323"/>
      <c r="AB28" s="323"/>
      <c r="AC28" s="323"/>
      <c r="AD28" s="323"/>
      <c r="AE28" s="323"/>
      <c r="AF28" s="323"/>
      <c r="AG28" s="323"/>
      <c r="AH28" s="323"/>
      <c r="AI28" s="323"/>
      <c r="AJ28" s="323"/>
      <c r="AK28" s="323"/>
      <c r="AL28" s="510"/>
      <c r="AS28" s="1156">
        <v>0</v>
      </c>
    </row>
    <row s="1854" customFormat="1" customHeight="1" ht="25.5" hidden="1">
      <c r="A29" s="1369"/>
      <c r="B29" s="1369"/>
      <c r="C29" s="1369"/>
      <c r="D29" s="1369"/>
      <c r="E29" s="1369"/>
      <c r="F29" s="1369"/>
      <c r="G29" s="1369"/>
      <c r="H29" s="1369"/>
      <c r="I29" s="1369"/>
      <c r="J29" s="1369"/>
      <c r="K29" s="1369"/>
      <c r="L29" s="1370"/>
      <c r="M29" s="1369"/>
      <c r="N29" s="1369"/>
      <c r="O29" s="1369"/>
      <c r="S29" s="2251" t="s">
        <v>42</v>
      </c>
      <c r="T29" s="2251"/>
      <c r="U29" s="1373"/>
      <c r="V29" s="2252" t="str">
        <f>IF(TITLE_NAME_OR_PR_CHANGE="",IF(TITLE_NAME_OR_PR="","",TITLE_NAME_OR_PR),TITLE_NAME_OR_PR_CHANGE)</f>
        <v/>
      </c>
      <c r="W29" s="2252"/>
      <c r="X29" s="2252"/>
      <c r="Y29" s="2252"/>
      <c r="Z29" s="2252"/>
      <c r="AA29" s="2252"/>
      <c r="AB29" s="2252"/>
      <c r="AC29" s="327"/>
      <c r="AD29" s="2252" t="str">
        <f>IF(TITLE_NAME_OR_PR_CHANGE="",IF(TITLE_NAME_OR_PR="","",TITLE_NAME_OR_PR),TITLE_NAME_OR_PR_CHANGE)</f>
        <v/>
      </c>
      <c r="AE29" s="2252"/>
      <c r="AF29" s="2252"/>
      <c r="AG29" s="2252"/>
      <c r="AH29" s="2252"/>
      <c r="AI29" s="2252"/>
      <c r="AJ29" s="2252"/>
      <c r="AK29" s="327"/>
      <c r="AL29" s="327"/>
      <c r="AM29" s="281"/>
      <c r="AN29" s="369"/>
      <c r="AO29" s="369"/>
      <c r="AP29" s="369"/>
      <c r="AQ29" s="369"/>
      <c r="AR29" s="369"/>
      <c r="AS29" s="419">
        <v>0</v>
      </c>
    </row>
    <row s="1854" customFormat="1" customHeight="1" ht="18.75" hidden="1">
      <c r="A30" s="1369"/>
      <c r="B30" s="1369"/>
      <c r="C30" s="1369"/>
      <c r="D30" s="1369"/>
      <c r="E30" s="1369"/>
      <c r="F30" s="1369"/>
      <c r="G30" s="1369"/>
      <c r="H30" s="1369"/>
      <c r="I30" s="1369"/>
      <c r="J30" s="1369"/>
      <c r="K30" s="1369"/>
      <c r="L30" s="1370"/>
      <c r="M30" s="1369"/>
      <c r="N30" s="1369"/>
      <c r="O30" s="1369"/>
      <c r="S30" s="2251" t="s">
        <v>437</v>
      </c>
      <c r="T30" s="2251"/>
      <c r="U30" s="1373"/>
      <c r="V30" s="2265" t="str">
        <f>IF(TITLE_DATE_PR_CHANGE="",IF(TITLE_DATE_PR="","",TITLE_DATE_PR),TITLE_DATE_PR_CHANGE)</f>
        <v>46142</v>
      </c>
      <c r="W30" s="2265"/>
      <c r="X30" s="2265"/>
      <c r="Y30" s="2265"/>
      <c r="Z30" s="2265"/>
      <c r="AA30" s="2265"/>
      <c r="AB30" s="2265"/>
      <c r="AC30" s="327"/>
      <c r="AD30" s="2265" t="str">
        <f>IF(TITLE_DATE_PR_CHANGE="",IF(TITLE_DATE_PR="","",TITLE_DATE_PR),TITLE_DATE_PR_CHANGE)</f>
        <v>46142</v>
      </c>
      <c r="AE30" s="2265"/>
      <c r="AF30" s="2265"/>
      <c r="AG30" s="2265"/>
      <c r="AH30" s="2265"/>
      <c r="AI30" s="2265"/>
      <c r="AJ30" s="2265"/>
      <c r="AK30" s="327"/>
      <c r="AL30" s="327"/>
      <c r="AM30" s="281"/>
      <c r="AN30" s="369"/>
      <c r="AO30" s="369"/>
      <c r="AP30" s="369"/>
      <c r="AQ30" s="369"/>
      <c r="AR30" s="369"/>
      <c r="AS30" s="419">
        <v>0</v>
      </c>
    </row>
    <row s="1854" customFormat="1" customHeight="1" ht="18.75" hidden="1">
      <c r="A31" s="1369"/>
      <c r="B31" s="1369"/>
      <c r="C31" s="1369"/>
      <c r="D31" s="1369"/>
      <c r="E31" s="1369"/>
      <c r="F31" s="1369"/>
      <c r="G31" s="1369"/>
      <c r="H31" s="1369"/>
      <c r="I31" s="1369"/>
      <c r="J31" s="1369"/>
      <c r="K31" s="1369"/>
      <c r="L31" s="1370"/>
      <c r="M31" s="1369"/>
      <c r="N31" s="1369"/>
      <c r="O31" s="1369"/>
      <c r="S31" s="2251" t="s">
        <v>438</v>
      </c>
      <c r="T31" s="2251"/>
      <c r="U31" s="1373"/>
      <c r="V31" s="2252" t="str">
        <f>IF(TITLE_NUMBER_PR_CHANGE="",IF(TITLE_NUMBER_PR="","",TITLE_NUMBER_PR),TITLE_NUMBER_PR_CHANGE)</f>
        <v>206Т</v>
      </c>
      <c r="W31" s="2252"/>
      <c r="X31" s="2252"/>
      <c r="Y31" s="2252"/>
      <c r="Z31" s="2252"/>
      <c r="AA31" s="2252"/>
      <c r="AB31" s="2252"/>
      <c r="AC31" s="327"/>
      <c r="AD31" s="2252" t="str">
        <f>IF(TITLE_NUMBER_PR_CHANGE="",IF(TITLE_NUMBER_PR="","",TITLE_NUMBER_PR),TITLE_NUMBER_PR_CHANGE)</f>
        <v>206Т</v>
      </c>
      <c r="AE31" s="2252"/>
      <c r="AF31" s="2252"/>
      <c r="AG31" s="2252"/>
      <c r="AH31" s="2252"/>
      <c r="AI31" s="2252"/>
      <c r="AJ31" s="2252"/>
      <c r="AK31" s="327"/>
      <c r="AL31" s="327"/>
      <c r="AM31" s="281"/>
      <c r="AN31" s="369"/>
      <c r="AO31" s="369"/>
      <c r="AP31" s="369"/>
      <c r="AQ31" s="369"/>
      <c r="AR31" s="369"/>
      <c r="AS31" s="419">
        <v>0</v>
      </c>
    </row>
    <row s="1854" customFormat="1" customHeight="1" ht="18.75" hidden="1">
      <c r="A32" s="1369"/>
      <c r="B32" s="1369"/>
      <c r="C32" s="1369"/>
      <c r="D32" s="1369"/>
      <c r="E32" s="1369"/>
      <c r="F32" s="1369"/>
      <c r="G32" s="1369"/>
      <c r="H32" s="1369"/>
      <c r="I32" s="1369"/>
      <c r="J32" s="1369"/>
      <c r="K32" s="1369"/>
      <c r="L32" s="1370"/>
      <c r="M32" s="1369"/>
      <c r="N32" s="1369"/>
      <c r="O32" s="1369"/>
      <c r="S32" s="2251" t="s">
        <v>43</v>
      </c>
      <c r="T32" s="2251"/>
      <c r="U32" s="1373"/>
      <c r="V32" s="2252" t="str">
        <f>IF(TITLE_IST_PUB_CHANGE="",IF(TITLE_IST_PUB="","",TITLE_IST_PUB),TITLE_IST_PUB_CHANGE)</f>
        <v/>
      </c>
      <c r="W32" s="2252"/>
      <c r="X32" s="2252"/>
      <c r="Y32" s="2252"/>
      <c r="Z32" s="2252"/>
      <c r="AA32" s="2252"/>
      <c r="AB32" s="2252"/>
      <c r="AC32" s="327"/>
      <c r="AD32" s="2252" t="str">
        <f>IF(TITLE_IST_PUB_CHANGE="",IF(TITLE_IST_PUB="","",TITLE_IST_PUB),TITLE_IST_PUB_CHANGE)</f>
        <v/>
      </c>
      <c r="AE32" s="2252"/>
      <c r="AF32" s="2252"/>
      <c r="AG32" s="2252"/>
      <c r="AH32" s="2252"/>
      <c r="AI32" s="2252"/>
      <c r="AJ32" s="2252"/>
      <c r="AK32" s="327"/>
      <c r="AL32" s="327"/>
      <c r="AM32" s="281"/>
      <c r="AN32" s="369"/>
      <c r="AO32" s="369"/>
      <c r="AP32" s="369"/>
      <c r="AQ32" s="369"/>
      <c r="AR32" s="369"/>
      <c r="AS32" s="419">
        <v>0</v>
      </c>
    </row>
    <row customHeight="1" ht="14.25">
      <c r="Q33" s="377"/>
      <c r="R33" s="377"/>
      <c r="S33" s="1276"/>
      <c r="T33" s="364"/>
      <c r="U33" s="364"/>
      <c r="V33" s="323"/>
      <c r="W33" s="323"/>
      <c r="X33" s="323"/>
      <c r="Y33" s="323"/>
      <c r="Z33" s="323"/>
      <c r="AA33" s="323"/>
      <c r="AB33" s="323"/>
      <c r="AC33" s="323"/>
      <c r="AD33" s="323"/>
      <c r="AE33" s="323"/>
      <c r="AF33" s="323"/>
      <c r="AG33" s="323"/>
      <c r="AH33" s="323"/>
      <c r="AI33" s="323"/>
      <c r="AJ33" s="323"/>
      <c r="AK33" s="323"/>
      <c r="AL33" s="510"/>
      <c r="AS33" s="1156">
        <v>0</v>
      </c>
    </row>
    <row s="1854" customFormat="1" customHeight="1" ht="18.75">
      <c r="A34" s="1369"/>
      <c r="B34" s="1369"/>
      <c r="C34" s="1369"/>
      <c r="D34" s="1369"/>
      <c r="E34" s="1369"/>
      <c r="F34" s="1369"/>
      <c r="G34" s="1369"/>
      <c r="H34" s="1369"/>
      <c r="I34" s="1369"/>
      <c r="J34" s="1369"/>
      <c r="K34" s="1369"/>
      <c r="L34" s="1370"/>
      <c r="M34" s="1369"/>
      <c r="N34" s="1369"/>
      <c r="O34" s="1369"/>
      <c r="S34" s="2251" t="s">
        <v>439</v>
      </c>
      <c r="T34" s="2251"/>
      <c r="U34" s="1373"/>
      <c r="V34" s="2265" t="str">
        <f>IF(TITLE_DATE_PR_CHANGE="",IF(TITLE_DATE_PR="","",TITLE_DATE_PR),TITLE_DATE_PR_CHANGE)</f>
        <v>46142</v>
      </c>
      <c r="W34" s="2265"/>
      <c r="X34" s="2265"/>
      <c r="Y34" s="2265"/>
      <c r="Z34" s="2265"/>
      <c r="AA34" s="2265"/>
      <c r="AB34" s="2265"/>
      <c r="AC34" s="327"/>
      <c r="AD34" s="2265" t="str">
        <f>IF(TITLE_DATE_PR_CHANGE="",IF(TITLE_DATE_PR="","",TITLE_DATE_PR),TITLE_DATE_PR_CHANGE)</f>
        <v>46142</v>
      </c>
      <c r="AE34" s="2265"/>
      <c r="AF34" s="2265"/>
      <c r="AG34" s="2265"/>
      <c r="AH34" s="2265"/>
      <c r="AI34" s="2265"/>
      <c r="AJ34" s="2265"/>
      <c r="AK34" s="327"/>
      <c r="AL34" s="327"/>
      <c r="AM34" s="281"/>
      <c r="AN34" s="369"/>
      <c r="AO34" s="369"/>
      <c r="AP34" s="369"/>
      <c r="AQ34" s="369"/>
      <c r="AR34" s="369"/>
      <c r="AS34" s="419">
        <v>0</v>
      </c>
    </row>
    <row s="1854" customFormat="1" customHeight="1" ht="25.5">
      <c r="A35" s="1369"/>
      <c r="B35" s="1369"/>
      <c r="C35" s="1369"/>
      <c r="D35" s="1369"/>
      <c r="E35" s="1369"/>
      <c r="F35" s="1369"/>
      <c r="G35" s="1369"/>
      <c r="H35" s="1369"/>
      <c r="I35" s="1369"/>
      <c r="J35" s="1369"/>
      <c r="K35" s="1369"/>
      <c r="L35" s="1370"/>
      <c r="M35" s="1369"/>
      <c r="N35" s="1369"/>
      <c r="O35" s="1369"/>
      <c r="S35" s="2251" t="s">
        <v>440</v>
      </c>
      <c r="T35" s="2251"/>
      <c r="U35" s="1373"/>
      <c r="V35" s="2252" t="str">
        <f>IF(TITLE_NUMBER_PR_CHANGE="",IF(TITLE_NUMBER_PR="","",TITLE_NUMBER_PR),TITLE_NUMBER_PR_CHANGE)</f>
        <v>206Т</v>
      </c>
      <c r="W35" s="2252"/>
      <c r="X35" s="2252"/>
      <c r="Y35" s="2252"/>
      <c r="Z35" s="2252"/>
      <c r="AA35" s="2252"/>
      <c r="AB35" s="2252"/>
      <c r="AC35" s="327"/>
      <c r="AD35" s="2252" t="str">
        <f>IF(TITLE_NUMBER_PR_CHANGE="",IF(TITLE_NUMBER_PR="","",TITLE_NUMBER_PR),TITLE_NUMBER_PR_CHANGE)</f>
        <v>206Т</v>
      </c>
      <c r="AE35" s="2252"/>
      <c r="AF35" s="2252"/>
      <c r="AG35" s="2252"/>
      <c r="AH35" s="2252"/>
      <c r="AI35" s="2252"/>
      <c r="AJ35" s="2252"/>
      <c r="AK35" s="327"/>
      <c r="AL35" s="327"/>
      <c r="AM35" s="281"/>
      <c r="AN35" s="369"/>
      <c r="AO35" s="369"/>
      <c r="AP35" s="369"/>
      <c r="AQ35" s="369"/>
      <c r="AR35" s="369"/>
      <c r="AS35" s="419">
        <v>0</v>
      </c>
    </row>
    <row s="1854" customFormat="1" customHeight="1" ht="0">
      <c r="A36" s="1369"/>
      <c r="B36" s="1369"/>
      <c r="C36" s="1369"/>
      <c r="D36" s="1369"/>
      <c r="E36" s="1369"/>
      <c r="F36" s="1369"/>
      <c r="G36" s="1369"/>
      <c r="H36" s="1369"/>
      <c r="I36" s="1369"/>
      <c r="J36" s="1369"/>
      <c r="K36" s="1369"/>
      <c r="L36" s="1370"/>
      <c r="M36" s="1369"/>
      <c r="N36" s="1369"/>
      <c r="O36" s="1369"/>
      <c r="S36" s="324"/>
      <c r="T36" s="324"/>
      <c r="U36" s="1341"/>
      <c r="V36" s="327"/>
      <c r="W36" s="327"/>
      <c r="X36" s="327"/>
      <c r="Y36" s="327"/>
      <c r="Z36" s="327"/>
      <c r="AA36" s="327"/>
      <c r="AB36" s="327"/>
      <c r="AC36" s="279" t="s">
        <v>441</v>
      </c>
      <c r="AD36" s="327"/>
      <c r="AE36" s="327"/>
      <c r="AF36" s="327"/>
      <c r="AG36" s="327"/>
      <c r="AH36" s="327"/>
      <c r="AI36" s="327"/>
      <c r="AJ36" s="327"/>
      <c r="AK36" s="279" t="s">
        <v>441</v>
      </c>
      <c r="AN36" s="369"/>
      <c r="AO36" s="369"/>
      <c r="AP36" s="369"/>
      <c r="AQ36" s="369"/>
      <c r="AR36" s="369"/>
      <c r="AS36" s="419">
        <v>0</v>
      </c>
    </row>
    <row customHeight="1" ht="14.699999999999998">
      <c r="Q37" s="377"/>
      <c r="R37" s="377"/>
      <c r="S37" s="1276"/>
      <c r="T37" s="364"/>
      <c r="U37" s="1245"/>
      <c r="V37" s="2253"/>
      <c r="W37" s="2253"/>
      <c r="X37" s="2253"/>
      <c r="Y37" s="2253"/>
      <c r="Z37" s="2253"/>
      <c r="AA37" s="2253"/>
      <c r="AB37" s="2253"/>
      <c r="AC37" s="2253"/>
      <c r="AD37" s="2253"/>
      <c r="AE37" s="2253"/>
      <c r="AF37" s="2253"/>
      <c r="AG37" s="2253"/>
      <c r="AH37" s="2253"/>
      <c r="AI37" s="2253"/>
      <c r="AJ37" s="2253"/>
      <c r="AK37" s="2253"/>
      <c r="AS37" s="1156">
        <v>14</v>
      </c>
    </row>
    <row customHeight="1" ht="14.699999999999998">
      <c r="Q38" s="377"/>
      <c r="R38" s="377"/>
      <c r="S38" s="2128" t="s">
        <v>317</v>
      </c>
      <c r="T38" s="2128"/>
      <c r="U38" s="2128"/>
      <c r="V38" s="2128"/>
      <c r="W38" s="2128"/>
      <c r="X38" s="2128"/>
      <c r="Y38" s="2128"/>
      <c r="Z38" s="2128"/>
      <c r="AA38" s="2128"/>
      <c r="AB38" s="2128"/>
      <c r="AC38" s="2128"/>
      <c r="AD38" s="2128"/>
      <c r="AE38" s="2128"/>
      <c r="AF38" s="2128"/>
      <c r="AG38" s="2128"/>
      <c r="AH38" s="2128"/>
      <c r="AI38" s="2128"/>
      <c r="AJ38" s="2128"/>
      <c r="AK38" s="2128"/>
      <c r="AL38" s="2128"/>
      <c r="AM38" s="2128" t="s">
        <v>318</v>
      </c>
      <c r="AS38" s="1156">
        <v>14</v>
      </c>
    </row>
    <row customHeight="1" ht="14.699999999999998">
      <c r="Q39" s="377"/>
      <c r="R39" s="377"/>
      <c r="S39" s="2274" t="s">
        <v>89</v>
      </c>
      <c r="T39" s="2210" t="s">
        <v>442</v>
      </c>
      <c r="U39" s="302"/>
      <c r="V39" s="2275" t="s">
        <v>443</v>
      </c>
      <c r="W39" s="2276"/>
      <c r="X39" s="2276"/>
      <c r="Y39" s="2276"/>
      <c r="Z39" s="2276"/>
      <c r="AA39" s="2276"/>
      <c r="AB39" s="2277"/>
      <c r="AC39" s="2278" t="s">
        <v>444</v>
      </c>
      <c r="AD39" s="2275" t="s">
        <v>443</v>
      </c>
      <c r="AE39" s="2276"/>
      <c r="AF39" s="2276"/>
      <c r="AG39" s="2276"/>
      <c r="AH39" s="2276"/>
      <c r="AI39" s="2276"/>
      <c r="AJ39" s="2277"/>
      <c r="AK39" s="2278" t="s">
        <v>445</v>
      </c>
      <c r="AL39" s="2281" t="s">
        <v>446</v>
      </c>
      <c r="AM39" s="2128"/>
      <c r="AS39" s="1156">
        <v>14</v>
      </c>
    </row>
    <row customHeight="1" ht="35.699999999999996">
      <c r="Q40" s="377"/>
      <c r="R40" s="377"/>
      <c r="S40" s="2274"/>
      <c r="T40" s="2210"/>
      <c r="U40" s="1032"/>
      <c r="V40" s="2261" t="s">
        <v>447</v>
      </c>
      <c r="W40" s="2284"/>
      <c r="X40" s="2263" t="s">
        <v>449</v>
      </c>
      <c r="Y40" s="2264"/>
      <c r="Z40" s="2263" t="s">
        <v>450</v>
      </c>
      <c r="AA40" s="2270"/>
      <c r="AB40" s="2264"/>
      <c r="AC40" s="2279"/>
      <c r="AD40" s="2261" t="s">
        <v>469</v>
      </c>
      <c r="AE40" s="2284"/>
      <c r="AF40" s="2263" t="s">
        <v>449</v>
      </c>
      <c r="AG40" s="2264"/>
      <c r="AH40" s="2263" t="s">
        <v>450</v>
      </c>
      <c r="AI40" s="2270"/>
      <c r="AJ40" s="2264"/>
      <c r="AK40" s="2279"/>
      <c r="AL40" s="2282"/>
      <c r="AM40" s="2128"/>
      <c r="AS40" s="1156">
        <v>34</v>
      </c>
    </row>
    <row customHeight="1" ht="35.699999999999996">
      <c r="A41" s="1371"/>
      <c r="B41" s="1371" t="s">
        <v>143</v>
      </c>
      <c r="C41" s="1371" t="s">
        <v>144</v>
      </c>
      <c r="D41" s="1371" t="s">
        <v>145</v>
      </c>
      <c r="E41" s="1365" t="s">
        <v>451</v>
      </c>
      <c r="F41" s="1365" t="s">
        <v>452</v>
      </c>
      <c r="G41" s="1365" t="s">
        <v>453</v>
      </c>
      <c r="H41" s="1365" t="s">
        <v>454</v>
      </c>
      <c r="I41" s="1365" t="s">
        <v>455</v>
      </c>
      <c r="J41" s="1365" t="s">
        <v>456</v>
      </c>
      <c r="K41" s="1365" t="s">
        <v>457</v>
      </c>
      <c r="L41" s="1365" t="s">
        <v>432</v>
      </c>
      <c r="Q41" s="377"/>
      <c r="R41" s="377"/>
      <c r="S41" s="2274"/>
      <c r="T41" s="2210"/>
      <c r="U41" s="303"/>
      <c r="V41" s="2262"/>
      <c r="W41" s="2285"/>
      <c r="X41" s="1223" t="s">
        <v>458</v>
      </c>
      <c r="Y41" s="1223" t="s">
        <v>459</v>
      </c>
      <c r="Z41" s="1339" t="s">
        <v>460</v>
      </c>
      <c r="AA41" s="2271" t="s">
        <v>461</v>
      </c>
      <c r="AB41" s="2272"/>
      <c r="AC41" s="2280"/>
      <c r="AD41" s="2262"/>
      <c r="AE41" s="2285"/>
      <c r="AF41" s="1223" t="s">
        <v>458</v>
      </c>
      <c r="AG41" s="1223" t="s">
        <v>459</v>
      </c>
      <c r="AH41" s="1339" t="s">
        <v>460</v>
      </c>
      <c r="AI41" s="2271" t="s">
        <v>461</v>
      </c>
      <c r="AJ41" s="2272"/>
      <c r="AK41" s="2280"/>
      <c r="AL41" s="2283"/>
      <c r="AM41" s="2128"/>
      <c r="AS41" s="1156">
        <v>34</v>
      </c>
    </row>
    <row s="1642" customFormat="1" customHeight="1" ht="11.25" hidden="1">
      <c r="A42" s="1371"/>
      <c r="B42" s="1371"/>
      <c r="C42" s="1371"/>
      <c r="D42" s="1371"/>
      <c r="E42" s="1371"/>
      <c r="F42" s="1371"/>
      <c r="G42" s="1371"/>
      <c r="H42" s="1371"/>
      <c r="I42" s="1371"/>
      <c r="J42" s="1371"/>
      <c r="K42" s="1371"/>
      <c r="L42" s="1365"/>
      <c r="M42" s="1363"/>
      <c r="N42" s="1363"/>
      <c r="O42" s="1363"/>
      <c r="P42" s="1247"/>
      <c r="Q42" s="1248"/>
      <c r="R42" s="1255">
        <v>1</v>
      </c>
      <c r="S42" s="1278" t="s">
        <v>118</v>
      </c>
      <c r="T42" s="1256" t="s">
        <v>103</v>
      </c>
      <c r="U42" s="1246" t="str">
        <f>OFFSET(U42,0,-1)</f>
        <v>2</v>
      </c>
      <c r="V42" s="1336">
        <f>OFFSET(V42,0,-1)+1</f>
        <v>3</v>
      </c>
      <c r="W42" s="1336"/>
      <c r="X42" s="1336">
        <f>OFFSET(X42,0,-1)+1</f>
        <v>1</v>
      </c>
      <c r="Y42" s="1336">
        <f>OFFSET(Y42,0,-1)+1</f>
        <v>2</v>
      </c>
      <c r="Z42" s="1336">
        <f>OFFSET(Z42,0,-1)+1</f>
        <v>3</v>
      </c>
      <c r="AA42" s="2273">
        <f>OFFSET(AA42,0,-1)+1</f>
        <v>4</v>
      </c>
      <c r="AB42" s="2273"/>
      <c r="AC42" s="1336">
        <f>OFFSET(AC42,0,-2)+1</f>
        <v>5</v>
      </c>
      <c r="AD42" s="1336">
        <f>OFFSET(AD42,0,-1)+1</f>
        <v>6</v>
      </c>
      <c r="AE42" s="1336"/>
      <c r="AF42" s="1336">
        <f>OFFSET(AF42,0,-1)+1</f>
        <v>1</v>
      </c>
      <c r="AG42" s="1336">
        <f>OFFSET(AG42,0,-1)+1</f>
        <v>2</v>
      </c>
      <c r="AH42" s="1336">
        <f>OFFSET(AH42,0,-1)+1</f>
        <v>3</v>
      </c>
      <c r="AI42" s="2273">
        <f>OFFSET(AI42,0,-1)+1</f>
        <v>4</v>
      </c>
      <c r="AJ42" s="2273"/>
      <c r="AK42" s="1336">
        <f>OFFSET(AK42,0,-2)+1</f>
        <v>5</v>
      </c>
      <c r="AL42" s="1246">
        <f>OFFSET(AL42,0,-1)</f>
        <v>5</v>
      </c>
      <c r="AM42" s="1336">
        <f>OFFSET(AM42,0,-1)+1</f>
        <v>6</v>
      </c>
      <c r="AN42" s="512"/>
      <c r="AO42" s="512"/>
      <c r="AP42" s="512"/>
      <c r="AQ42" s="512"/>
      <c r="AR42" s="512"/>
      <c r="AS42" s="497">
        <v>0</v>
      </c>
    </row>
    <row customHeight="1" ht="22.049999999999997">
      <c r="A43" s="1364" t="s">
        <v>205</v>
      </c>
      <c r="B43" s="1364"/>
      <c r="C43" s="1364"/>
      <c r="D43" s="1364"/>
      <c r="E43" s="2259">
        <v>1</v>
      </c>
      <c r="F43" s="1364"/>
      <c r="G43" s="1364"/>
      <c r="H43" s="1364"/>
      <c r="I43" s="1364"/>
      <c r="J43" s="1364"/>
      <c r="K43" s="1364"/>
      <c r="L43" s="1365"/>
      <c r="M43" s="1366"/>
      <c r="N43" s="1366"/>
      <c r="O43" s="1366"/>
      <c r="P43" s="362"/>
      <c r="Q43" s="361"/>
      <c r="R43" s="356"/>
      <c r="S43" s="1337">
        <f>INDEX(PT_DIFFERENTIATION_NUM_NTAR,MATCH(A43,PT_DIFFERENTIATION_NTAR_ID,0))</f>
        <v>0</v>
      </c>
      <c r="T43" s="299" t="s">
        <v>131</v>
      </c>
      <c r="U43" s="301"/>
      <c r="V43" s="2243"/>
      <c r="W43" s="2244"/>
      <c r="X43" s="2244"/>
      <c r="Y43" s="2244"/>
      <c r="Z43" s="2244"/>
      <c r="AA43" s="2244"/>
      <c r="AB43" s="2244"/>
      <c r="AC43" s="2245"/>
      <c r="AD43" s="2243" t="str">
        <f>INDEX(PT_DIFFERENTIATION_NTAR,MATCH(A43,PT_DIFFERENTIATION_NTAR_ID,0))</f>
        <v/>
      </c>
      <c r="AE43" s="2244"/>
      <c r="AF43" s="2244"/>
      <c r="AG43" s="2244"/>
      <c r="AH43" s="2244"/>
      <c r="AI43" s="2244"/>
      <c r="AJ43" s="2244"/>
      <c r="AK43" s="2244"/>
      <c r="AL43" s="2245"/>
      <c r="AM43" s="1259" t="str">
        <f>IF(TEMPLATE_GROUP="P","По данной форме раскрывается в том числе информация о тарифах на теплоноситель в виде воды, поставляемый единой теплоснабжающей организацией потребителям и теплоснабжающими организациями другим теплоснабжающим организациям "&amp;"с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"&amp;"2010 г. N 190-ФЗ ""О теплоснабжении"", а также информация о тарифах на теплоноситель в виде воды, поставляемый теплоснабжающей организацией, теплосетевой организацией в ценовых зонах "&amp;"теплоснабжения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"&amp;"6 части 1 статьи 23 4 Федерального закона от 27 июля 2010 г. N 190-ФЗ ""О теплоснабжении"".
"&amp;"Для каждого вида тарифа в сфере теплоснабжения форма заполняется отдельно.
"&amp;"При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об установлении цены"&amp;" (тарифа), источник официального опубликования решения об установлении цены (тарифа) в сфере теплоснабжения.","Для каждого вида тарифа в сфере теплоснабжения форма заполняется отдельно.
"&amp;"В соответствии с данной формой раскрывается в том числе информация о тарифах на теплоноситель в виде воды, поставляемый единой теплоснабжающей организацией потребителям и теплоснабжающими организациями другим теплоснабжающим "&amp;"организациям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
"&amp;"В соответствии с данной формой раскрывается в том числе информация о тарифах на теплоноситель в виде воды, поставляемый теплоснабжающей организаций, теплосетевой организацией в ценовых зонах теплоснабжения другим теплоснабжающим "&amp;"организациям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"&amp;"Федерального закона от 27 июля 2010 г. N 190-ФЗ ""О теплоснабжении"". Указывается наименование тарифа в случае "&amp;IF(TEMPLATE_GROUP="P","утверждения","предложения")&amp;" нескольких тарифов.
В случае наличия нескольких тарифов информация по ним указывается в отдельных строках.")</f>
        <v>Для каждого вида тарифа в сфере теплоснабжения форма заполняется отдельно.
В соответствии с данной формой раскрывается в том числе информация о тарифах на теплоноситель в виде воды, поставляемый единой теплоснабжающей организацией потребителям и теплоснабжающими организациями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
В соответствии с данной формой раскрывается в том числе информация о тарифах на теплоноситель в виде воды, поставляемый теплоснабжающей организаций, теплосетевой организацией в ценовых зонах теплоснабжения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 Указывается наименование тарифа в случае предложения нескольких тарифов.
В случае наличия нескольких тарифов информация по ним указывается в отдельных строках.</v>
      </c>
      <c r="AO43" s="501"/>
      <c r="AP43" s="501" t="str">
        <f>IF(T43="","",T43)</f>
        <v>Наименование тарифа</v>
      </c>
      <c r="AQ43" s="501"/>
      <c r="AR43" s="501"/>
      <c r="AS43" s="1156">
        <v>21</v>
      </c>
    </row>
    <row customHeight="1" ht="22.049999999999997">
      <c r="A44" s="1364" t="s">
        <v>205</v>
      </c>
      <c r="B44" s="1364" t="s">
        <v>206</v>
      </c>
      <c r="C44" s="1364"/>
      <c r="D44" s="1364"/>
      <c r="E44" s="2260"/>
      <c r="F44" s="2259">
        <v>1</v>
      </c>
      <c r="G44" s="1364"/>
      <c r="H44" s="1364"/>
      <c r="I44" s="1364"/>
      <c r="J44" s="1364"/>
      <c r="K44" s="1364"/>
      <c r="L44" s="1365"/>
      <c r="M44" s="1366"/>
      <c r="N44" s="1366"/>
      <c r="O44" s="1366"/>
      <c r="P44" s="1333"/>
      <c r="Q44" s="353"/>
      <c r="R44" s="354"/>
      <c r="S44" s="1337" t="str">
        <f>INDEX(PT_DIFFERENTIATION_NUM_TER,MATCH(B44,PT_DIFFERENTIATION_TER_ID,0))</f>
        <v>.</v>
      </c>
      <c r="T44" s="309" t="s">
        <v>414</v>
      </c>
      <c r="U44" s="301"/>
      <c r="V44" s="2243"/>
      <c r="W44" s="2244"/>
      <c r="X44" s="2244"/>
      <c r="Y44" s="2244"/>
      <c r="Z44" s="2244"/>
      <c r="AA44" s="2244"/>
      <c r="AB44" s="2244"/>
      <c r="AC44" s="2245"/>
      <c r="AD44" s="2243" t="str">
        <f>INDEX(PT_DIFFERENTIATION_TER,MATCH(B44,PT_DIFFERENTIATION_TER_ID,0))</f>
        <v/>
      </c>
      <c r="AE44" s="2244"/>
      <c r="AF44" s="2244"/>
      <c r="AG44" s="2244"/>
      <c r="AH44" s="2244"/>
      <c r="AI44" s="2244"/>
      <c r="AJ44" s="2244"/>
      <c r="AK44" s="2244"/>
      <c r="AL44" s="2245"/>
      <c r="AM44" s="1259" t="s">
        <v>415</v>
      </c>
      <c r="AO44" s="501"/>
      <c r="AP44" s="501" t="str">
        <f>IF(T44="","",T44)</f>
        <v>Территория действия тарифа</v>
      </c>
      <c r="AQ44" s="501"/>
      <c r="AR44" s="501"/>
      <c r="AS44" s="1156">
        <v>21</v>
      </c>
    </row>
    <row customHeight="1" ht="24">
      <c r="A45" s="1364" t="s">
        <v>205</v>
      </c>
      <c r="B45" s="1364" t="s">
        <v>206</v>
      </c>
      <c r="C45" s="1364" t="s">
        <v>207</v>
      </c>
      <c r="D45" s="1364"/>
      <c r="E45" s="2260"/>
      <c r="F45" s="2260"/>
      <c r="G45" s="2259">
        <v>1</v>
      </c>
      <c r="H45" s="1364"/>
      <c r="I45" s="1364"/>
      <c r="J45" s="1364"/>
      <c r="K45" s="1364"/>
      <c r="L45" s="1365"/>
      <c r="M45" s="1366"/>
      <c r="N45" s="1366"/>
      <c r="O45" s="1366"/>
      <c r="P45" s="355"/>
      <c r="Q45" s="353"/>
      <c r="R45" s="354"/>
      <c r="S45" s="1337" t="str">
        <f>INDEX(PT_DIFFERENTIATION_NUM_CS,MATCH(C45,PT_DIFFERENTIATION_CS_ID,0))</f>
        <v>..</v>
      </c>
      <c r="T45" s="310" t="s">
        <v>416</v>
      </c>
      <c r="U45" s="301"/>
      <c r="V45" s="2243"/>
      <c r="W45" s="2244"/>
      <c r="X45" s="2244"/>
      <c r="Y45" s="2244"/>
      <c r="Z45" s="2244"/>
      <c r="AA45" s="2244"/>
      <c r="AB45" s="2244"/>
      <c r="AC45" s="2245"/>
      <c r="AD45" s="2243" t="str">
        <f>INDEX(PT_DIFFERENTIATION_CS,MATCH(C45,PT_DIFFERENTIATION_CS_ID,0))</f>
        <v/>
      </c>
      <c r="AE45" s="2244"/>
      <c r="AF45" s="2244"/>
      <c r="AG45" s="2244"/>
      <c r="AH45" s="2244"/>
      <c r="AI45" s="2244"/>
      <c r="AJ45" s="2244"/>
      <c r="AK45" s="2244"/>
      <c r="AL45" s="2245"/>
      <c r="AM45" s="1259" t="s">
        <v>417</v>
      </c>
      <c r="AO45" s="501"/>
      <c r="AP45" s="501" t="str">
        <f>IF(T45="","",T45)</f>
        <v>Наименование системы теплоснабжения </v>
      </c>
      <c r="AQ45" s="501"/>
      <c r="AR45" s="501"/>
      <c r="AS45" s="1156">
        <v>23</v>
      </c>
    </row>
    <row customHeight="1" ht="22.049999999999997">
      <c r="A46" s="1364" t="s">
        <v>205</v>
      </c>
      <c r="B46" s="1364" t="s">
        <v>206</v>
      </c>
      <c r="C46" s="1364" t="s">
        <v>207</v>
      </c>
      <c r="D46" s="1364" t="s">
        <v>208</v>
      </c>
      <c r="E46" s="2260"/>
      <c r="F46" s="2260"/>
      <c r="G46" s="2260"/>
      <c r="H46" s="2259">
        <v>1</v>
      </c>
      <c r="I46" s="1364"/>
      <c r="J46" s="1364"/>
      <c r="K46" s="1364"/>
      <c r="L46" s="1365"/>
      <c r="M46" s="1366"/>
      <c r="N46" s="1366"/>
      <c r="O46" s="1366"/>
      <c r="P46" s="355"/>
      <c r="Q46" s="353"/>
      <c r="R46" s="354"/>
      <c r="S46" s="1337" t="str">
        <f>INDEX(PT_DIFFERENTIATION_NUM_IST_TE,MATCH(D46,PT_DIFFERENTIATION_IST_TE_ID,0))</f>
        <v>...</v>
      </c>
      <c r="T46" s="311" t="s">
        <v>418</v>
      </c>
      <c r="U46" s="301"/>
      <c r="V46" s="2243"/>
      <c r="W46" s="2244"/>
      <c r="X46" s="2244"/>
      <c r="Y46" s="2244"/>
      <c r="Z46" s="2244"/>
      <c r="AA46" s="2244"/>
      <c r="AB46" s="2244"/>
      <c r="AC46" s="2245"/>
      <c r="AD46" s="2243" t="str">
        <f>INDEX(PT_DIFFERENTIATION_IST_TE,MATCH(D46,PT_DIFFERENTIATION_IST_TE_ID,0))</f>
        <v/>
      </c>
      <c r="AE46" s="2244"/>
      <c r="AF46" s="2244"/>
      <c r="AG46" s="2244"/>
      <c r="AH46" s="2244"/>
      <c r="AI46" s="2244"/>
      <c r="AJ46" s="2244"/>
      <c r="AK46" s="2244"/>
      <c r="AL46" s="2245"/>
      <c r="AM46" s="1259" t="s">
        <v>419</v>
      </c>
      <c r="AO46" s="501"/>
      <c r="AP46" s="501" t="str">
        <f>IF(T46="","",T46)</f>
        <v>Источник тепловой энергии  </v>
      </c>
      <c r="AQ46" s="501"/>
      <c r="AR46" s="501"/>
      <c r="AS46" s="1156">
        <v>21</v>
      </c>
    </row>
    <row s="1643" customFormat="1" customHeight="1" ht="0">
      <c r="A47" s="1344" t="s">
        <v>205</v>
      </c>
      <c r="B47" s="1344" t="s">
        <v>206</v>
      </c>
      <c r="C47" s="1344" t="s">
        <v>207</v>
      </c>
      <c r="D47" s="1344" t="s">
        <v>208</v>
      </c>
      <c r="E47" s="2260"/>
      <c r="F47" s="2260"/>
      <c r="G47" s="2260"/>
      <c r="H47" s="2260"/>
      <c r="I47" s="2257" t="str">
        <f>S46&amp;".1"</f>
        <v>....1</v>
      </c>
      <c r="J47" s="1344"/>
      <c r="K47" s="1344"/>
      <c r="L47" s="1347" t="s">
        <v>420</v>
      </c>
      <c r="M47" s="511"/>
      <c r="N47" s="511"/>
      <c r="O47" s="511"/>
      <c r="P47" s="2258">
        <v>1</v>
      </c>
      <c r="Q47" s="1332"/>
      <c r="R47" s="357"/>
      <c r="S47" s="1043"/>
      <c r="T47" s="1384"/>
      <c r="U47" s="1385"/>
      <c r="V47" s="2297"/>
      <c r="W47" s="2298"/>
      <c r="X47" s="2298"/>
      <c r="Y47" s="2298"/>
      <c r="Z47" s="2298"/>
      <c r="AA47" s="2298"/>
      <c r="AB47" s="2298"/>
      <c r="AC47" s="2299"/>
      <c r="AD47" s="2297"/>
      <c r="AE47" s="2298"/>
      <c r="AF47" s="2298"/>
      <c r="AG47" s="2298"/>
      <c r="AH47" s="2298"/>
      <c r="AI47" s="2298"/>
      <c r="AJ47" s="2298"/>
      <c r="AK47" s="2298"/>
      <c r="AL47" s="2299"/>
      <c r="AM47" s="1386"/>
      <c r="AO47" s="501"/>
      <c r="AP47" s="501" t="str">
        <f>IF(T47="","",T47)</f>
        <v/>
      </c>
      <c r="AQ47" s="501"/>
      <c r="AR47" s="501"/>
      <c r="AS47" s="512">
        <v>0</v>
      </c>
    </row>
    <row customHeight="1" ht="22.049999999999997">
      <c r="A48" s="1364" t="s">
        <v>205</v>
      </c>
      <c r="B48" s="1364" t="s">
        <v>206</v>
      </c>
      <c r="C48" s="1364" t="s">
        <v>207</v>
      </c>
      <c r="D48" s="1364" t="s">
        <v>208</v>
      </c>
      <c r="E48" s="2260"/>
      <c r="F48" s="2260"/>
      <c r="G48" s="2260"/>
      <c r="H48" s="2260"/>
      <c r="I48" s="2287"/>
      <c r="J48" s="2257" t="str">
        <f>S46&amp;".1"</f>
        <v>....1</v>
      </c>
      <c r="K48" s="1364"/>
      <c r="L48" s="1365" t="s">
        <v>423</v>
      </c>
      <c r="P48" s="2258"/>
      <c r="Q48" s="2258">
        <v>1</v>
      </c>
      <c r="R48" s="358"/>
      <c r="S48" s="1337" t="str">
        <f>$J48</f>
        <v>....1</v>
      </c>
      <c r="T48" s="287" t="s">
        <v>424</v>
      </c>
      <c r="U48" s="301"/>
      <c r="V48" s="2246"/>
      <c r="W48" s="2247"/>
      <c r="X48" s="2247"/>
      <c r="Y48" s="2247"/>
      <c r="Z48" s="2247"/>
      <c r="AA48" s="2247"/>
      <c r="AB48" s="2247"/>
      <c r="AC48" s="2248"/>
      <c r="AD48" s="2246"/>
      <c r="AE48" s="2247"/>
      <c r="AF48" s="2247"/>
      <c r="AG48" s="2247"/>
      <c r="AH48" s="2247"/>
      <c r="AI48" s="2247"/>
      <c r="AJ48" s="2247"/>
      <c r="AK48" s="2247"/>
      <c r="AL48" s="2248"/>
      <c r="AM48" s="1259" t="s">
        <v>425</v>
      </c>
      <c r="AO48" s="501"/>
      <c r="AP48" s="501" t="str">
        <f>IF(T48="","",T48)</f>
        <v>Группа потребителей</v>
      </c>
      <c r="AQ48" s="501"/>
      <c r="AR48" s="501"/>
      <c r="AS48" s="1156">
        <v>21</v>
      </c>
    </row>
    <row customHeight="1" ht="22.049999999999997">
      <c r="A49" s="1364" t="s">
        <v>205</v>
      </c>
      <c r="B49" s="1364" t="s">
        <v>206</v>
      </c>
      <c r="C49" s="1364" t="s">
        <v>207</v>
      </c>
      <c r="D49" s="1364" t="s">
        <v>208</v>
      </c>
      <c r="E49" s="2260"/>
      <c r="F49" s="2260"/>
      <c r="G49" s="2260"/>
      <c r="H49" s="2260"/>
      <c r="I49" s="2287"/>
      <c r="J49" s="2287"/>
      <c r="K49" s="2257" t="str">
        <f>J48&amp;".1"</f>
        <v>....1.1</v>
      </c>
      <c r="L49" s="1365" t="s">
        <v>426</v>
      </c>
      <c r="P49" s="2258"/>
      <c r="Q49" s="2258"/>
      <c r="R49" s="358">
        <v>1</v>
      </c>
      <c r="S49" s="1337" t="str">
        <f>$K49</f>
        <v>....1.1</v>
      </c>
      <c r="T49" s="1348"/>
      <c r="U49" s="301"/>
      <c r="V49" s="752"/>
      <c r="W49" s="326"/>
      <c r="X49" s="752"/>
      <c r="Y49" s="1258"/>
      <c r="Z49" s="2266"/>
      <c r="AA49" s="2108" t="s">
        <v>61</v>
      </c>
      <c r="AB49" s="2266"/>
      <c r="AC49" s="2108" t="s">
        <v>61</v>
      </c>
      <c r="AD49" s="752"/>
      <c r="AE49" s="326"/>
      <c r="AF49" s="752"/>
      <c r="AG49" s="1258"/>
      <c r="AH49" s="2266"/>
      <c r="AI49" s="2108" t="s">
        <v>61</v>
      </c>
      <c r="AJ49" s="2288"/>
      <c r="AK49" s="2108" t="s">
        <v>61</v>
      </c>
      <c r="AL49" s="1349"/>
      <c r="AM49" s="2254" t="s">
        <v>470</v>
      </c>
      <c r="AN49" s="512">
        <f>STRCHECKDATE(V50:AL50)</f>
      </c>
      <c r="AO49" s="501"/>
      <c r="AP49" s="501" t="str">
        <f>IF(T49="","",T49)</f>
        <v/>
      </c>
      <c r="AQ49" s="501"/>
      <c r="AR49" s="501"/>
      <c r="AS49" s="1156">
        <v>21</v>
      </c>
    </row>
    <row customHeight="1" ht="0">
      <c r="A50" s="1364" t="s">
        <v>205</v>
      </c>
      <c r="B50" s="1364" t="s">
        <v>206</v>
      </c>
      <c r="C50" s="1364" t="s">
        <v>207</v>
      </c>
      <c r="D50" s="1364" t="s">
        <v>208</v>
      </c>
      <c r="E50" s="2260"/>
      <c r="F50" s="2260"/>
      <c r="G50" s="2260"/>
      <c r="H50" s="2260"/>
      <c r="I50" s="2287"/>
      <c r="J50" s="2287"/>
      <c r="K50" s="2257"/>
      <c r="L50" s="1365"/>
      <c r="P50" s="2258"/>
      <c r="Q50" s="2258"/>
      <c r="R50" s="358"/>
      <c r="S50" s="1343"/>
      <c r="T50" s="301"/>
      <c r="U50" s="301"/>
      <c r="V50" s="326"/>
      <c r="W50" s="326"/>
      <c r="X50" s="326"/>
      <c r="Y50" s="329" t="str">
        <f>Z49&amp;"-"&amp;AB49</f>
        <v>-</v>
      </c>
      <c r="Z50" s="2267"/>
      <c r="AA50" s="2108"/>
      <c r="AB50" s="2267"/>
      <c r="AC50" s="2108"/>
      <c r="AD50" s="326"/>
      <c r="AE50" s="326"/>
      <c r="AF50" s="326"/>
      <c r="AG50" s="329" t="str">
        <f>AH49&amp;"-"&amp;AJ49</f>
        <v>-</v>
      </c>
      <c r="AH50" s="2267"/>
      <c r="AI50" s="2108"/>
      <c r="AJ50" s="2289"/>
      <c r="AK50" s="2108"/>
      <c r="AL50" s="1350"/>
      <c r="AM50" s="2255"/>
      <c r="AO50" s="501"/>
      <c r="AP50" s="501" t="str">
        <f>IF(T50="","",T50)</f>
        <v/>
      </c>
      <c r="AQ50" s="501"/>
      <c r="AR50" s="501"/>
      <c r="AS50" s="1156">
        <v>0</v>
      </c>
    </row>
    <row customHeight="1" ht="11.549999999999999">
      <c r="A51" s="1364" t="s">
        <v>205</v>
      </c>
      <c r="B51" s="1364" t="s">
        <v>206</v>
      </c>
      <c r="C51" s="1364" t="s">
        <v>207</v>
      </c>
      <c r="D51" s="1364" t="s">
        <v>208</v>
      </c>
      <c r="E51" s="2260"/>
      <c r="F51" s="2260"/>
      <c r="G51" s="2260"/>
      <c r="H51" s="2260"/>
      <c r="I51" s="2287"/>
      <c r="J51" s="2257"/>
      <c r="K51" s="1364"/>
      <c r="L51" s="1365"/>
      <c r="P51" s="2258"/>
      <c r="Q51" s="2258"/>
      <c r="R51" s="357"/>
      <c r="S51" s="1279"/>
      <c r="T51" s="288" t="s">
        <v>428</v>
      </c>
      <c r="U51" s="368"/>
      <c r="V51" s="368"/>
      <c r="W51" s="368"/>
      <c r="X51" s="368"/>
      <c r="Y51" s="368"/>
      <c r="Z51" s="368"/>
      <c r="AA51" s="368"/>
      <c r="AB51" s="368"/>
      <c r="AC51" s="368"/>
      <c r="AD51" s="368"/>
      <c r="AE51" s="368"/>
      <c r="AF51" s="368"/>
      <c r="AG51" s="368"/>
      <c r="AH51" s="368"/>
      <c r="AI51" s="368"/>
      <c r="AJ51" s="368"/>
      <c r="AK51" s="368"/>
      <c r="AL51" s="325"/>
      <c r="AM51" s="2256"/>
      <c r="AO51" s="501"/>
      <c r="AP51" s="501" t="str">
        <f>IF(T51="","",T51)</f>
        <v>Добавить вид теплоносителя (параметры теплоносителя)</v>
      </c>
      <c r="AQ51" s="501"/>
      <c r="AR51" s="501"/>
      <c r="AS51" s="1156">
        <v>11</v>
      </c>
    </row>
    <row customHeight="1" ht="11.549999999999999">
      <c r="A52" s="1364" t="s">
        <v>205</v>
      </c>
      <c r="B52" s="1364" t="s">
        <v>206</v>
      </c>
      <c r="C52" s="1364" t="s">
        <v>207</v>
      </c>
      <c r="D52" s="1364" t="s">
        <v>208</v>
      </c>
      <c r="E52" s="2260"/>
      <c r="F52" s="2260"/>
      <c r="G52" s="2260"/>
      <c r="H52" s="2260"/>
      <c r="I52" s="2257"/>
      <c r="J52" s="1364"/>
      <c r="K52" s="1364"/>
      <c r="L52" s="1365"/>
      <c r="P52" s="2258"/>
      <c r="Q52" s="1332"/>
      <c r="R52" s="357"/>
      <c r="S52" s="1279"/>
      <c r="T52" s="366" t="s">
        <v>429</v>
      </c>
      <c r="U52" s="368"/>
      <c r="V52" s="368"/>
      <c r="W52" s="368"/>
      <c r="X52" s="368"/>
      <c r="Y52" s="368"/>
      <c r="Z52" s="368"/>
      <c r="AA52" s="368"/>
      <c r="AB52" s="368"/>
      <c r="AC52" s="367"/>
      <c r="AD52" s="368"/>
      <c r="AE52" s="368"/>
      <c r="AF52" s="368"/>
      <c r="AG52" s="368"/>
      <c r="AH52" s="368"/>
      <c r="AI52" s="368"/>
      <c r="AJ52" s="368"/>
      <c r="AK52" s="367"/>
      <c r="AL52" s="368"/>
      <c r="AM52" s="304"/>
      <c r="AO52" s="501"/>
      <c r="AP52" s="501" t="str">
        <f>IF(T52="","",T52)</f>
        <v>Добавить группу потребителей</v>
      </c>
      <c r="AQ52" s="501"/>
      <c r="AR52" s="501"/>
      <c r="AS52" s="1156">
        <v>11</v>
      </c>
    </row>
    <row customHeight="1" ht="0">
      <c r="A53" s="1364" t="s">
        <v>205</v>
      </c>
      <c r="B53" s="1364" t="s">
        <v>206</v>
      </c>
      <c r="C53" s="1364" t="s">
        <v>207</v>
      </c>
      <c r="D53" s="1364" t="s">
        <v>208</v>
      </c>
      <c r="E53" s="2260"/>
      <c r="F53" s="2260"/>
      <c r="G53" s="2260"/>
      <c r="H53" s="2259"/>
      <c r="I53" s="1364"/>
      <c r="J53" s="1364"/>
      <c r="K53" s="1364"/>
      <c r="L53" s="1365"/>
      <c r="M53" s="1366"/>
      <c r="N53" s="1366"/>
      <c r="O53" s="538"/>
      <c r="P53" s="361"/>
      <c r="Q53" s="376"/>
      <c r="R53" s="356"/>
      <c r="S53" s="1387"/>
      <c r="T53" s="1388"/>
      <c r="U53" s="1389"/>
      <c r="V53" s="1389"/>
      <c r="W53" s="1389"/>
      <c r="X53" s="1389"/>
      <c r="Y53" s="1389"/>
      <c r="Z53" s="1389"/>
      <c r="AA53" s="1389"/>
      <c r="AB53" s="1389"/>
      <c r="AC53" s="1389"/>
      <c r="AD53" s="1389"/>
      <c r="AE53" s="1389"/>
      <c r="AF53" s="1389"/>
      <c r="AG53" s="1389"/>
      <c r="AH53" s="1389"/>
      <c r="AI53" s="1389"/>
      <c r="AJ53" s="1389"/>
      <c r="AK53" s="1389"/>
      <c r="AL53" s="1389"/>
      <c r="AM53" s="1390"/>
      <c r="AO53" s="501"/>
      <c r="AP53" s="501" t="str">
        <f>IF(T53="","",T53)</f>
        <v/>
      </c>
      <c r="AQ53" s="501"/>
      <c r="AR53" s="501"/>
      <c r="AS53" s="1156">
        <v>0</v>
      </c>
    </row>
    <row s="1643" customFormat="1" customHeight="1" ht="0">
      <c r="A54" s="1344" t="s">
        <v>205</v>
      </c>
      <c r="B54" s="1344" t="s">
        <v>206</v>
      </c>
      <c r="C54" s="1344" t="s">
        <v>207</v>
      </c>
      <c r="D54" s="1315"/>
      <c r="E54" s="2260"/>
      <c r="F54" s="2260"/>
      <c r="G54" s="2259"/>
      <c r="H54" s="1315"/>
      <c r="I54" s="1315"/>
      <c r="J54" s="1315"/>
      <c r="K54" s="1315"/>
      <c r="L54" s="1340"/>
      <c r="M54" s="1316"/>
      <c r="N54" s="1316"/>
      <c r="P54" s="1317"/>
      <c r="Q54" s="1318"/>
      <c r="R54" s="1317"/>
      <c r="S54" s="1323"/>
      <c r="T54" s="1326" t="s">
        <v>176</v>
      </c>
      <c r="U54" s="1325"/>
      <c r="V54" s="1325"/>
      <c r="W54" s="1325"/>
      <c r="X54" s="1325"/>
      <c r="Y54" s="1325"/>
      <c r="Z54" s="1325"/>
      <c r="AA54" s="1325"/>
      <c r="AB54" s="1325"/>
      <c r="AC54" s="1325"/>
      <c r="AD54" s="1325"/>
      <c r="AE54" s="1325"/>
      <c r="AF54" s="1325"/>
      <c r="AG54" s="1325"/>
      <c r="AH54" s="1325"/>
      <c r="AI54" s="1325"/>
      <c r="AJ54" s="1325"/>
      <c r="AK54" s="1325"/>
      <c r="AL54" s="1325"/>
      <c r="AM54" s="1325"/>
      <c r="AO54" s="790"/>
      <c r="AP54" s="790" t="str">
        <f>IF(T54="","",T54)</f>
        <v>Добавить источник для дифференциации</v>
      </c>
      <c r="AQ54" s="790"/>
      <c r="AR54" s="790"/>
      <c r="AS54" s="519">
        <v>0</v>
      </c>
    </row>
    <row s="1643" customFormat="1" customHeight="1" ht="0">
      <c r="A55" s="1344" t="s">
        <v>205</v>
      </c>
      <c r="B55" s="1344" t="s">
        <v>206</v>
      </c>
      <c r="C55" s="1315"/>
      <c r="D55" s="1315"/>
      <c r="E55" s="2260"/>
      <c r="F55" s="2259"/>
      <c r="G55" s="1315"/>
      <c r="H55" s="1315"/>
      <c r="I55" s="1315"/>
      <c r="J55" s="1315"/>
      <c r="K55" s="1315"/>
      <c r="L55" s="1340"/>
      <c r="M55" s="1322"/>
      <c r="N55" s="1322"/>
      <c r="P55" s="1317"/>
      <c r="Q55" s="1318"/>
      <c r="R55" s="1317"/>
      <c r="S55" s="1323"/>
      <c r="T55" s="1326" t="s">
        <v>177</v>
      </c>
      <c r="U55" s="1325"/>
      <c r="V55" s="1325"/>
      <c r="W55" s="1325"/>
      <c r="X55" s="1325"/>
      <c r="Y55" s="1325"/>
      <c r="Z55" s="1325"/>
      <c r="AA55" s="1325"/>
      <c r="AB55" s="1325"/>
      <c r="AC55" s="1325"/>
      <c r="AD55" s="1325"/>
      <c r="AE55" s="1325"/>
      <c r="AF55" s="1325"/>
      <c r="AG55" s="1325"/>
      <c r="AH55" s="1325"/>
      <c r="AI55" s="1325"/>
      <c r="AJ55" s="1325"/>
      <c r="AK55" s="1325"/>
      <c r="AL55" s="1325"/>
      <c r="AM55" s="1325"/>
      <c r="AO55" s="790"/>
      <c r="AP55" s="790" t="str">
        <f>IF(T55="","",T55)</f>
        <v>Добавить централизованную систему для дифференциации</v>
      </c>
      <c r="AQ55" s="790"/>
      <c r="AR55" s="790"/>
      <c r="AS55" s="519">
        <v>0</v>
      </c>
    </row>
    <row s="1643" customFormat="1" customHeight="1" ht="0">
      <c r="A56" s="1344" t="s">
        <v>205</v>
      </c>
      <c r="B56" s="1344"/>
      <c r="C56" s="1344"/>
      <c r="D56" s="1344"/>
      <c r="E56" s="2259"/>
      <c r="F56" s="1344"/>
      <c r="G56" s="1344"/>
      <c r="H56" s="1344"/>
      <c r="I56" s="1344"/>
      <c r="J56" s="1344"/>
      <c r="K56" s="1344"/>
      <c r="L56" s="1347"/>
      <c r="M56" s="1322"/>
      <c r="N56" s="1322"/>
      <c r="O56" s="519"/>
      <c r="P56" s="381"/>
      <c r="Q56" s="1345"/>
      <c r="R56" s="381"/>
      <c r="S56" s="1323"/>
      <c r="T56" s="1326" t="s">
        <v>178</v>
      </c>
      <c r="U56" s="1325"/>
      <c r="V56" s="1325"/>
      <c r="W56" s="1325"/>
      <c r="X56" s="1325"/>
      <c r="Y56" s="1325"/>
      <c r="Z56" s="1325"/>
      <c r="AA56" s="1325"/>
      <c r="AB56" s="1325"/>
      <c r="AC56" s="1325"/>
      <c r="AD56" s="1325"/>
      <c r="AE56" s="1325"/>
      <c r="AF56" s="1325"/>
      <c r="AG56" s="1325"/>
      <c r="AH56" s="1325"/>
      <c r="AI56" s="1325"/>
      <c r="AJ56" s="1325"/>
      <c r="AK56" s="1325"/>
      <c r="AL56" s="1325"/>
      <c r="AM56" s="1325"/>
      <c r="AO56" s="501"/>
      <c r="AP56" s="501" t="str">
        <f>IF(T56="","",T56)</f>
        <v>Добавить территорию для дифференциации</v>
      </c>
      <c r="AQ56" s="501"/>
      <c r="AR56" s="501"/>
      <c r="AS56" s="512">
        <v>0</v>
      </c>
    </row>
    <row s="1643" customFormat="1" customHeight="1" ht="4.2">
      <c r="A57" s="1315"/>
      <c r="B57" s="1315"/>
      <c r="C57" s="1315"/>
      <c r="D57" s="1315"/>
      <c r="E57" s="1344"/>
      <c r="F57" s="1315"/>
      <c r="G57" s="1315"/>
      <c r="H57" s="1315"/>
      <c r="I57" s="1315"/>
      <c r="J57" s="1315"/>
      <c r="K57" s="1315"/>
      <c r="L57" s="1340"/>
      <c r="M57" s="1322"/>
      <c r="N57" s="1322"/>
      <c r="P57" s="1317"/>
      <c r="Q57" s="1318"/>
      <c r="R57" s="1317"/>
      <c r="S57" s="1323"/>
      <c r="T57" s="1326" t="s">
        <v>184</v>
      </c>
      <c r="U57" s="1325"/>
      <c r="V57" s="1325"/>
      <c r="W57" s="1325"/>
      <c r="X57" s="1325"/>
      <c r="Y57" s="1325"/>
      <c r="Z57" s="1325"/>
      <c r="AA57" s="1325"/>
      <c r="AB57" s="1325"/>
      <c r="AC57" s="1325"/>
      <c r="AD57" s="1325"/>
      <c r="AE57" s="1325"/>
      <c r="AF57" s="1325"/>
      <c r="AG57" s="1325"/>
      <c r="AH57" s="1325"/>
      <c r="AI57" s="1325"/>
      <c r="AJ57" s="1325"/>
      <c r="AK57" s="1325"/>
      <c r="AL57" s="1325"/>
      <c r="AM57" s="1325"/>
      <c r="AO57" s="790"/>
      <c r="AP57" s="790" t="str">
        <f>IF(T57="","",T57)</f>
        <v>Добавить наименование тарифа</v>
      </c>
      <c r="AQ57" s="790"/>
      <c r="AR57" s="790"/>
      <c r="AS57" s="519">
        <v>4</v>
      </c>
    </row>
    <row customHeight="1" ht="11.549999999999999">
      <c r="M58" s="1161"/>
      <c r="N58" s="1161"/>
      <c r="O58" s="538"/>
      <c r="P58" s="1156"/>
      <c r="Q58" s="1156"/>
      <c r="R58" s="1156"/>
      <c r="S58" s="1156"/>
      <c r="AN58" s="1156"/>
      <c r="AO58" s="1156"/>
      <c r="AP58" s="1156"/>
      <c r="AQ58" s="1156"/>
      <c r="AR58" s="1156"/>
      <c r="AS58" s="1156">
        <v>11</v>
      </c>
    </row>
    <row customHeight="1" ht="14.699999999999998">
      <c r="O59" s="538"/>
      <c r="S59" s="1254"/>
      <c r="T59" s="2286"/>
      <c r="U59" s="2286"/>
      <c r="V59" s="2286"/>
      <c r="W59" s="2286"/>
      <c r="X59" s="2286"/>
      <c r="Y59" s="2286"/>
      <c r="Z59" s="2286"/>
      <c r="AA59" s="2286"/>
      <c r="AB59" s="2286"/>
      <c r="AC59" s="2286"/>
      <c r="AD59" s="2286"/>
      <c r="AE59" s="2286"/>
      <c r="AF59" s="2286"/>
      <c r="AG59" s="2286"/>
      <c r="AH59" s="2286"/>
      <c r="AI59" s="2286"/>
      <c r="AJ59" s="2286"/>
      <c r="AK59" s="2286"/>
      <c r="AL59" s="2286"/>
      <c r="AM59" s="2286"/>
      <c r="AS59" s="1156">
        <v>14</v>
      </c>
    </row>
    <row customHeight="1" ht="14.699999999999998">
      <c r="O60" s="538"/>
      <c r="T60" s="2286"/>
      <c r="U60" s="2286"/>
      <c r="V60" s="2286"/>
      <c r="W60" s="2286"/>
      <c r="X60" s="2286"/>
      <c r="Y60" s="2286"/>
      <c r="Z60" s="2286"/>
      <c r="AA60" s="2286"/>
      <c r="AB60" s="2286"/>
      <c r="AC60" s="2286"/>
      <c r="AD60" s="2286"/>
      <c r="AE60" s="2286"/>
      <c r="AF60" s="2286"/>
      <c r="AG60" s="2286"/>
      <c r="AH60" s="2286"/>
      <c r="AI60" s="2286"/>
      <c r="AJ60" s="2286"/>
      <c r="AK60" s="2286"/>
      <c r="AL60" s="2286"/>
      <c r="AM60" s="2286"/>
      <c r="AS60" s="1156">
        <v>14</v>
      </c>
    </row>
    <row customHeight="1" ht="14.699999999999998">
      <c r="O61" s="538"/>
      <c r="T61" s="2286"/>
      <c r="U61" s="2286"/>
      <c r="V61" s="2286"/>
      <c r="W61" s="2286"/>
      <c r="X61" s="2286"/>
      <c r="Y61" s="2286"/>
      <c r="Z61" s="2286"/>
      <c r="AA61" s="2286"/>
      <c r="AB61" s="2286"/>
      <c r="AC61" s="2286"/>
      <c r="AD61" s="2286"/>
      <c r="AE61" s="2286"/>
      <c r="AF61" s="2286"/>
      <c r="AG61" s="2286"/>
      <c r="AH61" s="2286"/>
      <c r="AI61" s="2286"/>
      <c r="AJ61" s="2286"/>
      <c r="AK61" s="2286"/>
      <c r="AL61" s="2286"/>
      <c r="AM61" s="2286"/>
      <c r="AS61" s="1156">
        <v>14</v>
      </c>
    </row>
    <row customHeight="1" ht="14.699999999999998">
      <c r="O62" s="538"/>
      <c r="AS62" s="1156">
        <v>14</v>
      </c>
    </row>
    <row customHeight="1" ht="14.699999999999998">
      <c r="O63" s="538"/>
      <c r="S63" s="1254"/>
      <c r="T63" s="2300"/>
      <c r="U63" s="2286"/>
      <c r="V63" s="2286"/>
      <c r="W63" s="2286"/>
      <c r="X63" s="2286"/>
      <c r="Y63" s="2286"/>
      <c r="Z63" s="2286"/>
      <c r="AA63" s="2286"/>
      <c r="AB63" s="2286"/>
      <c r="AC63" s="2286"/>
      <c r="AD63" s="2286"/>
      <c r="AE63" s="2286"/>
      <c r="AF63" s="2286"/>
      <c r="AG63" s="2286"/>
      <c r="AH63" s="2286"/>
      <c r="AI63" s="2286"/>
      <c r="AJ63" s="2286"/>
      <c r="AK63" s="2286"/>
      <c r="AL63" s="2286"/>
      <c r="AM63" s="2286"/>
      <c r="AS63" s="1156">
        <v>14</v>
      </c>
    </row>
    <row customHeight="1" ht="14.699999999999998">
      <c r="O64" s="538"/>
      <c r="T64" s="2286"/>
      <c r="U64" s="2286"/>
      <c r="V64" s="2286"/>
      <c r="W64" s="2286"/>
      <c r="X64" s="2286"/>
      <c r="Y64" s="2286"/>
      <c r="Z64" s="2286"/>
      <c r="AA64" s="2286"/>
      <c r="AB64" s="2286"/>
      <c r="AC64" s="2286"/>
      <c r="AD64" s="2286"/>
      <c r="AE64" s="2286"/>
      <c r="AF64" s="2286"/>
      <c r="AG64" s="2286"/>
      <c r="AH64" s="2286"/>
      <c r="AI64" s="2286"/>
      <c r="AJ64" s="2286"/>
      <c r="AK64" s="2286"/>
      <c r="AL64" s="2286"/>
      <c r="AM64" s="2286"/>
      <c r="AS64" s="1156">
        <v>14</v>
      </c>
    </row>
    <row customHeight="1" ht="14.699999999999998">
      <c r="T65" s="2286"/>
      <c r="U65" s="2286"/>
      <c r="V65" s="2286"/>
      <c r="W65" s="2286"/>
      <c r="X65" s="2286"/>
      <c r="Y65" s="2286"/>
      <c r="Z65" s="2286"/>
      <c r="AA65" s="2286"/>
      <c r="AB65" s="2286"/>
      <c r="AC65" s="2286"/>
      <c r="AD65" s="2286"/>
      <c r="AE65" s="2286"/>
      <c r="AF65" s="2286"/>
      <c r="AG65" s="2286"/>
      <c r="AH65" s="2286"/>
      <c r="AI65" s="2286"/>
      <c r="AJ65" s="2286"/>
      <c r="AK65" s="2286"/>
      <c r="AL65" s="2286"/>
      <c r="AM65" s="2286"/>
      <c r="AS65" s="1156">
        <v>14</v>
      </c>
    </row>
    <row customHeight="1" ht="22.5" hidden="1">
      <c r="A66" s="1161" t="s">
        <v>83</v>
      </c>
      <c r="B66" s="1161">
        <v>0</v>
      </c>
      <c r="C66" s="1161">
        <v>0</v>
      </c>
      <c r="D66" s="1161">
        <v>0</v>
      </c>
      <c r="E66" s="1161">
        <v>0</v>
      </c>
      <c r="F66" s="1161">
        <v>0</v>
      </c>
      <c r="G66" s="1161">
        <v>0</v>
      </c>
      <c r="H66" s="1161">
        <v>0</v>
      </c>
      <c r="I66" s="1161">
        <v>0</v>
      </c>
      <c r="J66" s="1161">
        <v>0</v>
      </c>
      <c r="K66" s="1161">
        <v>0</v>
      </c>
      <c r="L66" s="1330">
        <v>0</v>
      </c>
      <c r="M66" s="1363">
        <v>0</v>
      </c>
      <c r="N66" s="1363">
        <v>0</v>
      </c>
      <c r="O66" s="1363">
        <v>0</v>
      </c>
      <c r="P66" s="1329">
        <v>0</v>
      </c>
      <c r="Q66" s="345">
        <v>3</v>
      </c>
      <c r="R66" s="345">
        <v>3</v>
      </c>
      <c r="S66" s="582">
        <v>12</v>
      </c>
      <c r="T66" s="1156">
        <v>31</v>
      </c>
      <c r="U66" s="1156">
        <v>0</v>
      </c>
      <c r="V66" s="1156">
        <v>0</v>
      </c>
      <c r="W66" s="1156">
        <v>0</v>
      </c>
      <c r="X66" s="1156">
        <v>0</v>
      </c>
      <c r="Y66" s="1156">
        <v>0</v>
      </c>
      <c r="Z66" s="1156">
        <v>0</v>
      </c>
      <c r="AA66" s="1156">
        <v>0</v>
      </c>
      <c r="AB66" s="1156">
        <v>0</v>
      </c>
      <c r="AC66" s="1156">
        <v>0</v>
      </c>
      <c r="AD66" s="1156">
        <v>24</v>
      </c>
      <c r="AE66" s="1156">
        <v>0</v>
      </c>
      <c r="AF66" s="1156">
        <v>24</v>
      </c>
      <c r="AG66" s="1156">
        <v>24</v>
      </c>
      <c r="AH66" s="1156">
        <v>11</v>
      </c>
      <c r="AI66" s="1156">
        <v>3</v>
      </c>
      <c r="AJ66" s="1156">
        <v>11</v>
      </c>
      <c r="AK66" s="1156">
        <v>0</v>
      </c>
      <c r="AL66" s="1156">
        <v>4</v>
      </c>
      <c r="AM66" s="1156">
        <v>115</v>
      </c>
      <c r="AN66" s="512">
        <v>10</v>
      </c>
      <c r="AO66" s="512">
        <v>10</v>
      </c>
      <c r="AP66" s="512">
        <v>10</v>
      </c>
      <c r="AQ66" s="512">
        <v>10</v>
      </c>
      <c r="AR66" s="512">
        <v>10</v>
      </c>
      <c r="AS66" s="1156">
        <v>23</v>
      </c>
    </row>
  </sheetData>
  <sheetProtection formatColumns="0" formatRows="0" autoFilter="0" sort="0" insertRows="0" insertColumns="1" deleteRows="0" deleteColumns="0"/>
  <mergeCells count="113">
    <mergeCell ref="V37:AC37"/>
    <mergeCell ref="AD37:AK37"/>
    <mergeCell ref="AI49:AI50"/>
    <mergeCell ref="AJ49:AJ50"/>
    <mergeCell ref="AK49:AK50"/>
    <mergeCell ref="T65:AM65"/>
    <mergeCell ref="S34:T34"/>
    <mergeCell ref="V34:AB34"/>
    <mergeCell ref="AD34:AJ34"/>
    <mergeCell ref="S35:T35"/>
    <mergeCell ref="V35:AB35"/>
    <mergeCell ref="AD35:AJ35"/>
    <mergeCell ref="T63:AM63"/>
    <mergeCell ref="T64:AM64"/>
    <mergeCell ref="AM49:AM51"/>
    <mergeCell ref="T59:AM59"/>
    <mergeCell ref="T60:AM60"/>
    <mergeCell ref="T61:AM61"/>
    <mergeCell ref="V47:AC47"/>
    <mergeCell ref="AD47:AL47"/>
    <mergeCell ref="AA42:AB42"/>
    <mergeCell ref="AI42:AJ42"/>
    <mergeCell ref="AE40:AE41"/>
    <mergeCell ref="AF40:AG40"/>
    <mergeCell ref="E43:E56"/>
    <mergeCell ref="V43:AC43"/>
    <mergeCell ref="AD43:AL43"/>
    <mergeCell ref="F44:F55"/>
    <mergeCell ref="V44:AC44"/>
    <mergeCell ref="AD44:AL44"/>
    <mergeCell ref="G45:G54"/>
    <mergeCell ref="V45:AC45"/>
    <mergeCell ref="AD45:AL45"/>
    <mergeCell ref="H46:H53"/>
    <mergeCell ref="V46:AC46"/>
    <mergeCell ref="AD46:AL46"/>
    <mergeCell ref="I47:I52"/>
    <mergeCell ref="P47:P52"/>
    <mergeCell ref="J48:J51"/>
    <mergeCell ref="Q48:Q51"/>
    <mergeCell ref="V48:AC48"/>
    <mergeCell ref="AD48:AL48"/>
    <mergeCell ref="K49:K50"/>
    <mergeCell ref="Z49:Z50"/>
    <mergeCell ref="AA49:AA50"/>
    <mergeCell ref="AB49:AB50"/>
    <mergeCell ref="AC49:AC50"/>
    <mergeCell ref="AH49:AH50"/>
    <mergeCell ref="S38:AL38"/>
    <mergeCell ref="AM38:AM41"/>
    <mergeCell ref="S39:S41"/>
    <mergeCell ref="T39:T41"/>
    <mergeCell ref="V39:AB39"/>
    <mergeCell ref="AC39:AC41"/>
    <mergeCell ref="AD39:AJ39"/>
    <mergeCell ref="AK39:AK41"/>
    <mergeCell ref="AL39:AL41"/>
    <mergeCell ref="V40:V41"/>
    <mergeCell ref="W40:W41"/>
    <mergeCell ref="X40:Y40"/>
    <mergeCell ref="Z40:AB40"/>
    <mergeCell ref="AD40:AD41"/>
    <mergeCell ref="AI41:AJ41"/>
    <mergeCell ref="AH40:AJ40"/>
    <mergeCell ref="AA41:AB41"/>
    <mergeCell ref="S31:T31"/>
    <mergeCell ref="V31:AB31"/>
    <mergeCell ref="AD31:AJ31"/>
    <mergeCell ref="S32:T32"/>
    <mergeCell ref="V32:AB32"/>
    <mergeCell ref="AD32:AJ32"/>
    <mergeCell ref="S27:AJ27"/>
    <mergeCell ref="S29:T29"/>
    <mergeCell ref="V29:AB29"/>
    <mergeCell ref="AD29:AJ29"/>
    <mergeCell ref="S30:T30"/>
    <mergeCell ref="V30:AB30"/>
    <mergeCell ref="AD30:AJ30"/>
    <mergeCell ref="AM8:AM10"/>
    <mergeCell ref="AH17:AH18"/>
    <mergeCell ref="AI17:AI18"/>
    <mergeCell ref="AJ17:AJ18"/>
    <mergeCell ref="AK17:AK18"/>
    <mergeCell ref="J7:J10"/>
    <mergeCell ref="Q7:Q10"/>
    <mergeCell ref="V7:AC7"/>
    <mergeCell ref="AD7:AL7"/>
    <mergeCell ref="K8:K9"/>
    <mergeCell ref="Z8:Z9"/>
    <mergeCell ref="AA8:AA9"/>
    <mergeCell ref="AB8:AB9"/>
    <mergeCell ref="AC8:AC9"/>
    <mergeCell ref="AH8:AH9"/>
    <mergeCell ref="AI8:AI9"/>
    <mergeCell ref="AJ8:AJ9"/>
    <mergeCell ref="AK8:AK9"/>
    <mergeCell ref="S26:AJ26"/>
    <mergeCell ref="E2:E15"/>
    <mergeCell ref="V2:AC2"/>
    <mergeCell ref="AD2:AL2"/>
    <mergeCell ref="F3:F14"/>
    <mergeCell ref="V3:AC3"/>
    <mergeCell ref="AD3:AL3"/>
    <mergeCell ref="G4:G13"/>
    <mergeCell ref="V4:AC4"/>
    <mergeCell ref="AD4:AL4"/>
    <mergeCell ref="H5:H12"/>
    <mergeCell ref="V5:AC5"/>
    <mergeCell ref="AD5:AL5"/>
    <mergeCell ref="I6:I11"/>
    <mergeCell ref="P6:P11"/>
    <mergeCell ref="V6:AC6"/>
    <mergeCell ref="AD6:AL6"/>
  </mergeCells>
  <dataValidations count="8">
    <dataValidation allowBlank="1" sqref="S131123:AM131129 S196659:AM196665 S262195:AM262201 S327731:AM327737 S393267:AM393273 S458803:AM458809 S524339:AM524345 S589875:AM589881 S655411:AM655417 S720947:AM720953 S786483:AM786489 S852019:AM852025 S917555:AM917561 S983091:AM983097 S65587:AM65593"/>
    <dataValidation type="list" allowBlank="1" showInputMessage="1" showErrorMessage="1" errorTitle="Ошибка" error="Выберите значение из списка" sqref="V983087:W983087 V65583:W65583 V131119:W131119 V196655:W196655 V262191:W262191 V327727:W327727 V393263:W393263 V458799:W458799 V524335:W524335 V589871:W589871 V655407:W655407 V720943:W720943 V786479:W786479 V852015:W852015 V917551:W917551 AD983087:AE983087 AD65583:AE65583 AD131119:AE131119 AD196655:AE196655 AD262191:AE262191 AD327727:AE327727 AD393263:AE393263 AD458799:AE458799 AD524335:AE524335 AD589871:AE589871 AD655407:AE655407 AD720943:AE720943 AD786479:AE786479 AD852015:AE852015 AD917551:AE917551">
      <formula1>kind_of_scheme_in</formula1>
    </dataValidation>
    <dataValidation type="list" allowBlank="1" showInputMessage="1" errorTitle="Ошибка" error="Выберите значение из списка" prompt="Выберите значение из списка" sqref="V983088:AL983088 V65584:AL65584 V131120:AL131120 V196656:AL196656 V262192:AL262192 V327728:AL327728 V393264:AL393264 V458800:AL458800 V524336:AL524336 V589872:AL589872 V655408:AL655408 V720944:AL720944 V786480:AL786480 V852016:AL852016 V917552:AL917552">
      <formula1>kind_of_cons</formula1>
    </dataValidation>
    <dataValidation type="textLength" operator="lessThanOrEqual" allowBlank="1" showInputMessage="1" showErrorMessage="1" errorTitle="Ошибка" error="Допускается ввод не более 900 символов!" sqref="AM65579:AM65586 AM131115:AM131122 AM196651:AM196658 AM262187:AM262194 AM327723:AM327730 AM393259:AM393266 AM458795:AM458802 AM524331:AM524338 AM589867:AM589874 AM655403:AM655410 AM720939:AM720946 AM786475:AM786482 AM852011:AM852018 AM917547:AM917554 AM983083:AM983090">
      <formula1>900</formula1>
    </dataValidation>
    <dataValidation type="list" allowBlank="1" showInputMessage="1" showErrorMessage="1" errorTitle="Ошибка" error="Выберите значение из списка" sqref="T65585 T131121 T196657 T262193 T327729 T393265 T458801 T524337 T589873 T655409 T720945 T786481 T852017 T917553 T983089">
      <formula1>kind_of_heat_transfer</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5 Z131121 Z196657 Z262193 Z327729 Z393265 Z458801 Z524337 Z589873 Z655409 Z720945 Z786481 Z852017 Z917553 Z983089 AB65585 AB131121 AB196657 AB262193 AB327729 AB393265 AB458801 AB524337 AB589873 AB655409 AB720945 AB786481 AB852017 AB917553 AB983089 Z8 AH65585 AH131121 AH196657 AH262193 AH327729 AH393265 AH458801 AH524337 AH589873 AH655409 AH720945 AH786481 AH852017 AH917553 AH983089 AJ65585 AJ131121 AJ196657 AJ262193 AJ327729 AJ393265 AJ458801 AJ524337 AJ589873 AJ655409 AJ720945 AJ786481 AJ852017 AJ917553 AJ983089 AJ49 AH49 AH8 AJ8 AB8 AH17 AJ17 Z49 AB49"/>
    <dataValidation allowBlank="1" promptTitle="checkPeriodRange" sqref="Y65586 Y131122 Y196658 Y262194 Y327730 Y393266 Y458802 Y524338 Y589874 Y655410 Y720946 Y786482 Y852018 Y917554 Y983090 Y9 AG65586 AG131122 AG196658 AG262194 AG327730 AG393266 AG458802 AG524338 AG589874 AG655410 AG720946 AG786482 AG852018 AG917554 AG983090 AG9 AG50 AG18 Y50"/>
    <dataValidation allowBlank="1" showInputMessage="1" showErrorMessage="1" prompt="Для выбора выполните двойной щелчок левой клавиши мыши по соответствующей ячейке." sqref="AA65585 AA131121 AA196657 AA262193 AA327729 AA393265 AA458801 AA524337 AA589873 AA655409 AA720945 AA786481 AA852017 AA917553 AA983089 AC131121 AC458801 AC196657 AC262193 AC327729 AC393265 AC524337 AC589873 AC655409 AC720945 AC786481 AC852017 AC917553 AC983089 AC65585 AI65585 AI131121 AI196657 AI262193 AI327729 AI393265 AI458801 AI524337 AI589873 AI655409 AI720945 AI786481 AI852017 AI917553 AI983089 AK393265 AK49 AK524337 AK8 AK589873 AK655409 AK17 AK720945 AK786481 AK852017 AK917553 AK983089 AK65585 AK131121 AK458801 AI49 AK196657 AI8 AC8 AA8 AI17 AK262193 AA49 AC49 AK327729"/>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543E0703-6505-F616-928E-41D73A20FBE9}" mc:Ignorable="x14ac xr xr2 xr3">
  <sheetPr>
    <tabColor theme="6" tint="0.4"/>
  </sheetPr>
  <dimension ref="A1:AW72"/>
  <sheetViews>
    <sheetView showGridLines="0" zoomScale="90" workbookViewId="0">
      <pane xSplit="32" ySplit="48" topLeftCell="AG49" activePane="bottomRight" state="frozen"/>
      <selection pane="bottomLeft" activeCell="A49" sqref="A49"/>
      <selection pane="topRight" activeCell="AG1" sqref="AG1"/>
      <selection pane="bottomRight" activeCell="A1" sqref="A1"/>
    </sheetView>
  </sheetViews>
  <sheetFormatPr defaultColWidth="10.57421875" customHeight="1" defaultRowHeight="14.25"/>
  <cols>
    <col min="1" max="1" style="1636" width="10.57421875" hidden="1"/>
    <col min="2" max="2" style="1636" width="11.00390625" hidden="1" customWidth="1"/>
    <col min="3" max="3" style="1636" width="10.57421875" hidden="1"/>
    <col min="4" max="4" style="1636" width="11.8515625" hidden="1" customWidth="1"/>
    <col min="5" max="5" style="1636" width="10.00390625" hidden="1" customWidth="1"/>
    <col min="6" max="6" style="1636" width="8.7109375" hidden="1" customWidth="1"/>
    <col min="7" max="7" style="1636" width="7.57421875" hidden="1" customWidth="1"/>
    <col min="8" max="8" style="1636" width="11.421875" hidden="1" customWidth="1"/>
    <col min="9" max="9" style="1636" width="12.00390625" hidden="1" customWidth="1"/>
    <col min="10" max="10" style="1636" width="9.8515625" hidden="1" customWidth="1"/>
    <col min="11" max="12" style="1636" width="11.421875" hidden="1" customWidth="1"/>
    <col min="13" max="13" style="2126" width="19.140625" hidden="1" customWidth="1"/>
    <col min="14" max="15" style="2398" width="12.28125" hidden="1" customWidth="1"/>
    <col min="16" max="16" style="2398" width="23.421875" hidden="1" customWidth="1"/>
    <col min="17" max="17" style="2398" width="3.7109375" hidden="1" customWidth="1"/>
    <col min="18" max="20" style="345" width="3.00390625" customWidth="1"/>
    <col min="21" max="21" style="2408" width="12.00390625" customWidth="1"/>
    <col min="22" max="22" style="1636" width="31.00390625" customWidth="1"/>
    <col min="23" max="23" style="1636" width="0.140625" customWidth="1"/>
    <col min="24" max="28" style="1636" width="21.7109375" hidden="1" customWidth="1"/>
    <col min="29" max="29" style="1636" width="11.7109375" hidden="1" customWidth="1"/>
    <col min="30" max="30" style="1636" width="3.7109375" hidden="1" customWidth="1"/>
    <col min="31" max="31" style="1636" width="11.7109375" hidden="1" customWidth="1"/>
    <col min="32" max="32" style="1636" width="8.57421875" hidden="1" customWidth="1"/>
    <col min="33" max="33" style="1636" width="21.7109375" customWidth="1"/>
    <col min="34" max="37" style="1636" width="21.00390625" customWidth="1"/>
    <col min="38" max="38" style="1636" width="11.00390625" customWidth="1"/>
    <col min="39" max="39" style="1636" width="3.7109375" customWidth="1"/>
    <col min="40" max="40" style="1636" width="11.00390625" customWidth="1"/>
    <col min="41" max="41" style="1636" width="8.57421875" hidden="1" customWidth="1"/>
    <col min="42" max="42" style="1636" width="4.00390625" customWidth="1"/>
    <col min="43" max="43" style="1636" width="115.00390625" customWidth="1"/>
    <col min="44" max="48" style="1643" width="10.00390625" customWidth="1"/>
    <col min="49" max="49" style="1636" width="10.57421875" hidden="1"/>
  </cols>
  <sheetData>
    <row customHeight="1" ht="22.5" hidden="1">
      <c r="AB1" s="328"/>
      <c r="AC1" s="328"/>
      <c r="AK1" s="328"/>
      <c r="AL1" s="328"/>
      <c r="AW1" s="1156" t="s">
        <v>14</v>
      </c>
    </row>
    <row customHeight="1" ht="21" hidden="1">
      <c r="A2" s="1268"/>
      <c r="B2" s="1268"/>
      <c r="C2" s="1268"/>
      <c r="D2" s="1268"/>
      <c r="E2" s="2290">
        <v>1</v>
      </c>
      <c r="F2" s="1268"/>
      <c r="G2" s="1268"/>
      <c r="H2" s="1268"/>
      <c r="I2" s="1268"/>
      <c r="J2" s="1268"/>
      <c r="K2" s="1268"/>
      <c r="L2" s="1268"/>
      <c r="M2" s="1311"/>
      <c r="N2" s="689"/>
      <c r="O2" s="689"/>
      <c r="P2" s="689"/>
      <c r="Q2" s="362"/>
      <c r="R2" s="361"/>
      <c r="S2" s="361"/>
      <c r="T2" s="356"/>
      <c r="U2" s="1337">
        <f>INDEX(PT_DIFFERENTIATION_NUM_NTAR,MATCH(A2,PT_DIFFERENTIATION_NTAR_ID,0))</f>
      </c>
      <c r="V2" s="299" t="s">
        <v>131</v>
      </c>
      <c r="W2" s="301"/>
      <c r="X2" s="2243"/>
      <c r="Y2" s="2244"/>
      <c r="Z2" s="2244"/>
      <c r="AA2" s="2244"/>
      <c r="AB2" s="2244"/>
      <c r="AC2" s="2244"/>
      <c r="AD2" s="2244"/>
      <c r="AE2" s="2244"/>
      <c r="AF2" s="2245"/>
      <c r="AG2" s="2243">
        <f>INDEX(PT_DIFFERENTIATION_NTAR,MATCH(A2,PT_DIFFERENTIATION_NTAR_ID,0))</f>
      </c>
      <c r="AH2" s="2244"/>
      <c r="AI2" s="2244"/>
      <c r="AJ2" s="2244"/>
      <c r="AK2" s="2244"/>
      <c r="AL2" s="2244"/>
      <c r="AM2" s="2244"/>
      <c r="AN2" s="2244"/>
      <c r="AO2" s="2244"/>
      <c r="AP2" s="2245"/>
      <c r="AQ2" s="1259" t="s">
        <v>413</v>
      </c>
      <c r="AS2" s="501"/>
      <c r="AT2" s="501" t="str">
        <f>IF(V2="","",V2)</f>
        <v>Наименование тарифа</v>
      </c>
      <c r="AU2" s="501"/>
      <c r="AV2" s="501"/>
      <c r="AW2" s="1156">
        <v>0</v>
      </c>
    </row>
    <row customHeight="1" ht="21" hidden="1">
      <c r="A3" s="1268"/>
      <c r="B3" s="1268"/>
      <c r="C3" s="1268"/>
      <c r="D3" s="1268"/>
      <c r="E3" s="2291"/>
      <c r="F3" s="2290">
        <v>1</v>
      </c>
      <c r="G3" s="1268"/>
      <c r="H3" s="1268"/>
      <c r="I3" s="1268"/>
      <c r="J3" s="1268"/>
      <c r="K3" s="1268"/>
      <c r="L3" s="1268"/>
      <c r="M3" s="1311"/>
      <c r="N3" s="689"/>
      <c r="O3" s="689"/>
      <c r="P3" s="689"/>
      <c r="Q3" s="1333"/>
      <c r="R3" s="353"/>
      <c r="S3" s="510"/>
      <c r="T3" s="354"/>
      <c r="U3" s="1337">
        <f>INDEX(PT_DIFFERENTIATION_NUM_TER,MATCH(B3,PT_DIFFERENTIATION_TER_ID,0))</f>
      </c>
      <c r="V3" s="309" t="s">
        <v>414</v>
      </c>
      <c r="W3" s="301"/>
      <c r="X3" s="2243"/>
      <c r="Y3" s="2244"/>
      <c r="Z3" s="2244"/>
      <c r="AA3" s="2244"/>
      <c r="AB3" s="2244"/>
      <c r="AC3" s="2244"/>
      <c r="AD3" s="2244"/>
      <c r="AE3" s="2244"/>
      <c r="AF3" s="2245"/>
      <c r="AG3" s="2243">
        <f>INDEX(PT_DIFFERENTIATION_TER,MATCH(B3,PT_DIFFERENTIATION_TER_ID,0))</f>
      </c>
      <c r="AH3" s="2244"/>
      <c r="AI3" s="2244"/>
      <c r="AJ3" s="2244"/>
      <c r="AK3" s="2244"/>
      <c r="AL3" s="2244"/>
      <c r="AM3" s="2244"/>
      <c r="AN3" s="2244"/>
      <c r="AO3" s="2244"/>
      <c r="AP3" s="2245"/>
      <c r="AQ3" s="1259" t="s">
        <v>415</v>
      </c>
      <c r="AS3" s="501"/>
      <c r="AT3" s="501" t="str">
        <f>IF(V3="","",V3)</f>
        <v>Территория действия тарифа</v>
      </c>
      <c r="AU3" s="501"/>
      <c r="AV3" s="501"/>
      <c r="AW3" s="1156">
        <v>0</v>
      </c>
    </row>
    <row customHeight="1" ht="22.5" hidden="1">
      <c r="A4" s="1268"/>
      <c r="B4" s="1268"/>
      <c r="C4" s="1268"/>
      <c r="D4" s="1268"/>
      <c r="E4" s="2291"/>
      <c r="F4" s="2291"/>
      <c r="G4" s="2290">
        <v>1</v>
      </c>
      <c r="H4" s="1268"/>
      <c r="I4" s="1268"/>
      <c r="J4" s="1268"/>
      <c r="K4" s="1268"/>
      <c r="L4" s="1268"/>
      <c r="M4" s="1311"/>
      <c r="N4" s="689"/>
      <c r="O4" s="689"/>
      <c r="P4" s="689"/>
      <c r="Q4" s="355"/>
      <c r="R4" s="353"/>
      <c r="S4" s="510"/>
      <c r="T4" s="354"/>
      <c r="U4" s="1337">
        <f>INDEX(PT_DIFFERENTIATION_NUM_CS,MATCH(C4,PT_DIFFERENTIATION_CS_ID,0))</f>
      </c>
      <c r="V4" s="310" t="s">
        <v>416</v>
      </c>
      <c r="W4" s="301"/>
      <c r="X4" s="2243"/>
      <c r="Y4" s="2244"/>
      <c r="Z4" s="2244"/>
      <c r="AA4" s="2244"/>
      <c r="AB4" s="2244"/>
      <c r="AC4" s="2244"/>
      <c r="AD4" s="2244"/>
      <c r="AE4" s="2244"/>
      <c r="AF4" s="2245"/>
      <c r="AG4" s="2243">
        <f>INDEX(PT_DIFFERENTIATION_CS,MATCH(C4,PT_DIFFERENTIATION_CS_ID,0))</f>
      </c>
      <c r="AH4" s="2244"/>
      <c r="AI4" s="2244"/>
      <c r="AJ4" s="2244"/>
      <c r="AK4" s="2244"/>
      <c r="AL4" s="2244"/>
      <c r="AM4" s="2244"/>
      <c r="AN4" s="2244"/>
      <c r="AO4" s="2244"/>
      <c r="AP4" s="2245"/>
      <c r="AQ4" s="1259" t="s">
        <v>417</v>
      </c>
      <c r="AS4" s="501"/>
      <c r="AT4" s="501" t="str">
        <f>IF(V4="","",V4)</f>
        <v>Наименование системы теплоснабжения </v>
      </c>
      <c r="AU4" s="501"/>
      <c r="AV4" s="501"/>
      <c r="AW4" s="1156">
        <v>0</v>
      </c>
    </row>
    <row customHeight="1" ht="21" hidden="1">
      <c r="A5" s="1268"/>
      <c r="B5" s="1268"/>
      <c r="C5" s="1268"/>
      <c r="D5" s="1268"/>
      <c r="E5" s="2291"/>
      <c r="F5" s="2291"/>
      <c r="G5" s="2291"/>
      <c r="H5" s="2290">
        <v>1</v>
      </c>
      <c r="I5" s="1268"/>
      <c r="J5" s="1268"/>
      <c r="K5" s="1268"/>
      <c r="L5" s="1268"/>
      <c r="M5" s="1311"/>
      <c r="N5" s="689"/>
      <c r="O5" s="689"/>
      <c r="P5" s="689"/>
      <c r="Q5" s="355"/>
      <c r="R5" s="353"/>
      <c r="S5" s="510"/>
      <c r="T5" s="354"/>
      <c r="U5" s="1337">
        <f>INDEX(PT_DIFFERENTIATION_NUM_IST_TE,MATCH(D5,PT_DIFFERENTIATION_IST_TE_ID,0))</f>
      </c>
      <c r="V5" s="311" t="s">
        <v>418</v>
      </c>
      <c r="W5" s="301"/>
      <c r="X5" s="2243"/>
      <c r="Y5" s="2244"/>
      <c r="Z5" s="2244"/>
      <c r="AA5" s="2244"/>
      <c r="AB5" s="2244"/>
      <c r="AC5" s="2244"/>
      <c r="AD5" s="2244"/>
      <c r="AE5" s="2244"/>
      <c r="AF5" s="2245"/>
      <c r="AG5" s="2243">
        <f>INDEX(PT_DIFFERENTIATION_IST_TE,MATCH(D5,PT_DIFFERENTIATION_IST_TE_ID,0))</f>
      </c>
      <c r="AH5" s="2244"/>
      <c r="AI5" s="2244"/>
      <c r="AJ5" s="2244"/>
      <c r="AK5" s="2244"/>
      <c r="AL5" s="2244"/>
      <c r="AM5" s="2244"/>
      <c r="AN5" s="2244"/>
      <c r="AO5" s="2244"/>
      <c r="AP5" s="2245"/>
      <c r="AQ5" s="1259" t="s">
        <v>419</v>
      </c>
      <c r="AS5" s="501"/>
      <c r="AT5" s="501" t="str">
        <f>IF(V5="","",V5)</f>
        <v>Источник тепловой энергии  </v>
      </c>
      <c r="AU5" s="501"/>
      <c r="AV5" s="501"/>
      <c r="AW5" s="1156">
        <v>0</v>
      </c>
    </row>
    <row customHeight="1" ht="14.25" hidden="1">
      <c r="A6" s="1268"/>
      <c r="B6" s="1268"/>
      <c r="C6" s="1268"/>
      <c r="D6" s="1268"/>
      <c r="E6" s="2291"/>
      <c r="F6" s="2291"/>
      <c r="G6" s="2291"/>
      <c r="H6" s="2291"/>
      <c r="I6" s="2128">
        <f>U5&amp;".1"</f>
      </c>
      <c r="J6" s="1268"/>
      <c r="K6" s="1268"/>
      <c r="L6" s="1268"/>
      <c r="M6" s="1311" t="s">
        <v>420</v>
      </c>
      <c r="N6" s="510"/>
      <c r="Q6" s="2258">
        <v>1</v>
      </c>
      <c r="R6" s="1332"/>
      <c r="S6" s="1332"/>
      <c r="T6" s="357"/>
      <c r="U6" s="1043"/>
      <c r="V6" s="1384"/>
      <c r="W6" s="1385"/>
      <c r="X6" s="2297"/>
      <c r="Y6" s="2298"/>
      <c r="Z6" s="2298"/>
      <c r="AA6" s="2298"/>
      <c r="AB6" s="2298"/>
      <c r="AC6" s="2298"/>
      <c r="AD6" s="2298"/>
      <c r="AE6" s="2298"/>
      <c r="AF6" s="2299"/>
      <c r="AG6" s="2297"/>
      <c r="AH6" s="2298"/>
      <c r="AI6" s="2298"/>
      <c r="AJ6" s="2298"/>
      <c r="AK6" s="2298"/>
      <c r="AL6" s="2298"/>
      <c r="AM6" s="2298"/>
      <c r="AN6" s="2298"/>
      <c r="AO6" s="2298"/>
      <c r="AP6" s="2299"/>
      <c r="AQ6" s="1386"/>
      <c r="AS6" s="501"/>
      <c r="AT6" s="501" t="str">
        <f>IF(V6="","",V6)</f>
        <v/>
      </c>
      <c r="AU6" s="501"/>
      <c r="AV6" s="501"/>
      <c r="AW6" s="1156">
        <v>0</v>
      </c>
    </row>
    <row customHeight="1" ht="21" hidden="1">
      <c r="A7" s="1268"/>
      <c r="B7" s="1268"/>
      <c r="C7" s="1268"/>
      <c r="D7" s="1268"/>
      <c r="E7" s="2291"/>
      <c r="F7" s="2291"/>
      <c r="G7" s="2291"/>
      <c r="H7" s="2291"/>
      <c r="I7" s="2102"/>
      <c r="J7" s="2128">
        <f>I6&amp;".1"</f>
      </c>
      <c r="K7" s="1268"/>
      <c r="L7" s="1268"/>
      <c r="M7" s="1311" t="s">
        <v>423</v>
      </c>
      <c r="N7" s="510"/>
      <c r="O7" s="328"/>
      <c r="Q7" s="2258"/>
      <c r="R7" s="2258">
        <v>1</v>
      </c>
      <c r="S7" s="519"/>
      <c r="T7" s="358"/>
      <c r="U7" s="1337">
        <f>$J7</f>
      </c>
      <c r="V7" s="287" t="s">
        <v>424</v>
      </c>
      <c r="W7" s="301"/>
      <c r="X7" s="2246"/>
      <c r="Y7" s="2247"/>
      <c r="Z7" s="2247"/>
      <c r="AA7" s="2247"/>
      <c r="AB7" s="2247"/>
      <c r="AC7" s="2236"/>
      <c r="AD7" s="2236"/>
      <c r="AE7" s="2236"/>
      <c r="AF7" s="2309"/>
      <c r="AG7" s="2246"/>
      <c r="AH7" s="2247"/>
      <c r="AI7" s="2247"/>
      <c r="AJ7" s="2247"/>
      <c r="AK7" s="2247"/>
      <c r="AL7" s="2247"/>
      <c r="AM7" s="2247"/>
      <c r="AN7" s="2247"/>
      <c r="AO7" s="2247"/>
      <c r="AP7" s="2248"/>
      <c r="AQ7" s="1259" t="s">
        <v>425</v>
      </c>
      <c r="AS7" s="501"/>
      <c r="AT7" s="501" t="str">
        <f>IF(V7="","",V7)</f>
        <v>Группа потребителей</v>
      </c>
      <c r="AU7" s="501"/>
      <c r="AV7" s="501"/>
      <c r="AW7" s="1156">
        <v>0</v>
      </c>
    </row>
    <row customHeight="1" ht="21" hidden="1">
      <c r="A8" s="1268"/>
      <c r="B8" s="1268"/>
      <c r="C8" s="1268"/>
      <c r="D8" s="1268"/>
      <c r="E8" s="2291"/>
      <c r="F8" s="2291"/>
      <c r="G8" s="2291"/>
      <c r="H8" s="2291"/>
      <c r="I8" s="2102"/>
      <c r="J8" s="2102"/>
      <c r="K8" s="2128">
        <f>J7&amp;".1"</f>
      </c>
      <c r="L8" s="140"/>
      <c r="M8" s="1311" t="s">
        <v>426</v>
      </c>
      <c r="N8" s="510"/>
      <c r="O8" s="328"/>
      <c r="P8" s="328"/>
      <c r="Q8" s="2258"/>
      <c r="R8" s="2258"/>
      <c r="S8" s="2258">
        <v>1</v>
      </c>
      <c r="T8" s="358"/>
      <c r="U8" s="1337">
        <f>$K8</f>
      </c>
      <c r="V8" s="1348"/>
      <c r="W8" s="301"/>
      <c r="X8" s="752"/>
      <c r="Y8" s="752"/>
      <c r="Z8" s="752"/>
      <c r="AA8" s="752"/>
      <c r="AB8" s="1406"/>
      <c r="AC8" s="2266"/>
      <c r="AD8" s="2108" t="s">
        <v>61</v>
      </c>
      <c r="AE8" s="2266"/>
      <c r="AF8" s="2108" t="s">
        <v>61</v>
      </c>
      <c r="AG8" s="1408"/>
      <c r="AH8" s="752"/>
      <c r="AI8" s="752"/>
      <c r="AJ8" s="752"/>
      <c r="AK8" s="1258"/>
      <c r="AL8" s="2266"/>
      <c r="AM8" s="2108" t="s">
        <v>61</v>
      </c>
      <c r="AN8" s="2266"/>
      <c r="AO8" s="2108" t="s">
        <v>61</v>
      </c>
      <c r="AP8" s="326"/>
      <c r="AQ8" s="1308" t="s">
        <v>471</v>
      </c>
      <c r="AR8" s="512">
        <f>STRCHECKDATE(X10:AP10)</f>
      </c>
      <c r="AS8" s="501"/>
      <c r="AT8" s="501" t="str">
        <f>IF(V8="","",V8)</f>
        <v/>
      </c>
      <c r="AU8" s="501"/>
      <c r="AV8" s="501"/>
      <c r="AW8" s="1156">
        <v>0</v>
      </c>
    </row>
    <row customHeight="1" ht="21" hidden="1">
      <c r="A9" s="1268"/>
      <c r="B9" s="1268"/>
      <c r="C9" s="1268"/>
      <c r="D9" s="1268"/>
      <c r="E9" s="2291"/>
      <c r="F9" s="2291"/>
      <c r="G9" s="2291"/>
      <c r="H9" s="2291"/>
      <c r="I9" s="2102"/>
      <c r="J9" s="2102"/>
      <c r="K9" s="2102"/>
      <c r="L9" s="2128">
        <f>K8&amp;".1"</f>
      </c>
      <c r="M9" s="1311"/>
      <c r="N9" s="510"/>
      <c r="O9" s="328"/>
      <c r="P9" s="328"/>
      <c r="Q9" s="2258"/>
      <c r="R9" s="2258"/>
      <c r="S9" s="2258"/>
      <c r="T9" s="358"/>
      <c r="U9" s="1337">
        <f>$L9</f>
      </c>
      <c r="V9" s="1392"/>
      <c r="W9" s="301"/>
      <c r="X9" s="326"/>
      <c r="Y9" s="752"/>
      <c r="Z9" s="752"/>
      <c r="AA9" s="752"/>
      <c r="AB9" s="1406"/>
      <c r="AC9" s="2310"/>
      <c r="AD9" s="2108"/>
      <c r="AE9" s="2310"/>
      <c r="AF9" s="2108"/>
      <c r="AG9" s="1408"/>
      <c r="AH9" s="752"/>
      <c r="AI9" s="752"/>
      <c r="AJ9" s="752"/>
      <c r="AK9" s="1258"/>
      <c r="AL9" s="2310"/>
      <c r="AM9" s="2108"/>
      <c r="AN9" s="2310"/>
      <c r="AO9" s="2108"/>
      <c r="AP9" s="326"/>
      <c r="AQ9" s="2254" t="s">
        <v>472</v>
      </c>
      <c r="AS9" s="501"/>
      <c r="AT9" s="501"/>
      <c r="AU9" s="501"/>
      <c r="AV9" s="501"/>
      <c r="AW9" s="1156">
        <v>0</v>
      </c>
    </row>
    <row customHeight="1" ht="14.25" hidden="1">
      <c r="A10" s="1268"/>
      <c r="B10" s="1268"/>
      <c r="C10" s="1268"/>
      <c r="D10" s="1268"/>
      <c r="E10" s="2291"/>
      <c r="F10" s="2291"/>
      <c r="G10" s="2291"/>
      <c r="H10" s="2291"/>
      <c r="I10" s="2102"/>
      <c r="J10" s="2102"/>
      <c r="K10" s="2102"/>
      <c r="L10" s="2128"/>
      <c r="M10" s="1311"/>
      <c r="N10" s="510"/>
      <c r="O10" s="328"/>
      <c r="P10" s="328"/>
      <c r="Q10" s="2258"/>
      <c r="R10" s="2258"/>
      <c r="S10" s="2258"/>
      <c r="T10" s="358"/>
      <c r="U10" s="1343"/>
      <c r="V10" s="301"/>
      <c r="W10" s="301"/>
      <c r="X10" s="326"/>
      <c r="Y10" s="326"/>
      <c r="Z10" s="326"/>
      <c r="AA10" s="326"/>
      <c r="AB10" s="1407" t="str">
        <f>AC8&amp;"-"&amp;AE8</f>
        <v>-</v>
      </c>
      <c r="AC10" s="2310"/>
      <c r="AD10" s="2108"/>
      <c r="AE10" s="2310"/>
      <c r="AF10" s="2108"/>
      <c r="AG10" s="1383"/>
      <c r="AH10" s="326"/>
      <c r="AI10" s="326"/>
      <c r="AJ10" s="326"/>
      <c r="AK10" s="329" t="str">
        <f>AL8&amp;"-"&amp;AN8</f>
        <v>-</v>
      </c>
      <c r="AL10" s="2310"/>
      <c r="AM10" s="2108"/>
      <c r="AN10" s="2310"/>
      <c r="AO10" s="2108"/>
      <c r="AP10" s="326"/>
      <c r="AQ10" s="2255"/>
      <c r="AS10" s="501"/>
      <c r="AT10" s="501" t="str">
        <f>IF(V10="","",V10)</f>
        <v/>
      </c>
      <c r="AU10" s="501"/>
      <c r="AV10" s="501"/>
      <c r="AW10" s="1156">
        <v>0</v>
      </c>
    </row>
    <row customHeight="1" ht="11.25" hidden="1">
      <c r="A11" s="1268"/>
      <c r="B11" s="1268"/>
      <c r="C11" s="1268"/>
      <c r="D11" s="1268"/>
      <c r="E11" s="2291"/>
      <c r="F11" s="2291"/>
      <c r="G11" s="2291"/>
      <c r="H11" s="2291"/>
      <c r="I11" s="2102"/>
      <c r="J11" s="2102"/>
      <c r="K11" s="2128"/>
      <c r="L11" s="1268"/>
      <c r="M11" s="1311"/>
      <c r="N11" s="510"/>
      <c r="O11" s="328"/>
      <c r="P11" s="328"/>
      <c r="Q11" s="2258"/>
      <c r="R11" s="2258"/>
      <c r="S11" s="2258"/>
      <c r="T11" s="358"/>
      <c r="U11" s="1279"/>
      <c r="V11" s="289" t="s">
        <v>473</v>
      </c>
      <c r="W11" s="1393"/>
      <c r="X11" s="1394"/>
      <c r="Y11" s="1394"/>
      <c r="Z11" s="1394"/>
      <c r="AA11" s="1394"/>
      <c r="AB11" s="1395"/>
      <c r="AC11" s="2310"/>
      <c r="AD11" s="2108"/>
      <c r="AE11" s="2310"/>
      <c r="AF11" s="2108"/>
      <c r="AG11" s="1394"/>
      <c r="AH11" s="1394"/>
      <c r="AI11" s="1394"/>
      <c r="AJ11" s="1394"/>
      <c r="AK11" s="1395"/>
      <c r="AL11" s="2310"/>
      <c r="AM11" s="2108"/>
      <c r="AN11" s="2310"/>
      <c r="AO11" s="2108"/>
      <c r="AP11" s="1396"/>
      <c r="AQ11" s="2255"/>
      <c r="AS11" s="501"/>
      <c r="AT11" s="501"/>
      <c r="AU11" s="501"/>
      <c r="AV11" s="501"/>
      <c r="AW11" s="1156">
        <v>0</v>
      </c>
    </row>
    <row customHeight="1" ht="15" hidden="1">
      <c r="A12" s="1268"/>
      <c r="B12" s="1268"/>
      <c r="C12" s="1268"/>
      <c r="D12" s="1268"/>
      <c r="E12" s="2291"/>
      <c r="F12" s="2291"/>
      <c r="G12" s="2291"/>
      <c r="H12" s="2291"/>
      <c r="I12" s="2102"/>
      <c r="J12" s="2128"/>
      <c r="K12" s="1268"/>
      <c r="L12" s="1268"/>
      <c r="M12" s="1311"/>
      <c r="N12" s="510"/>
      <c r="O12" s="328"/>
      <c r="Q12" s="2258"/>
      <c r="R12" s="2258"/>
      <c r="S12" s="1332"/>
      <c r="T12" s="357"/>
      <c r="U12" s="1279"/>
      <c r="V12" s="288" t="s">
        <v>428</v>
      </c>
      <c r="W12" s="368"/>
      <c r="X12" s="368"/>
      <c r="Y12" s="368"/>
      <c r="Z12" s="368"/>
      <c r="AA12" s="368"/>
      <c r="AB12" s="368"/>
      <c r="AC12" s="1409"/>
      <c r="AD12" s="1409"/>
      <c r="AE12" s="1409"/>
      <c r="AF12" s="1409"/>
      <c r="AG12" s="368"/>
      <c r="AH12" s="368"/>
      <c r="AI12" s="368"/>
      <c r="AJ12" s="368"/>
      <c r="AK12" s="368"/>
      <c r="AL12" s="368"/>
      <c r="AM12" s="368"/>
      <c r="AN12" s="368"/>
      <c r="AO12" s="368"/>
      <c r="AP12" s="325"/>
      <c r="AQ12" s="2256"/>
      <c r="AS12" s="501"/>
      <c r="AT12" s="501" t="str">
        <f>IF(V12="","",V12)</f>
        <v>Добавить вид теплоносителя (параметры теплоносителя)</v>
      </c>
      <c r="AU12" s="501"/>
      <c r="AV12" s="501"/>
      <c r="AW12" s="1156">
        <v>0</v>
      </c>
    </row>
    <row customHeight="1" ht="11.25" hidden="1">
      <c r="A13" s="1268"/>
      <c r="B13" s="1268"/>
      <c r="C13" s="1268"/>
      <c r="D13" s="1268"/>
      <c r="E13" s="2291"/>
      <c r="F13" s="2291"/>
      <c r="G13" s="2291"/>
      <c r="H13" s="2291"/>
      <c r="I13" s="2128"/>
      <c r="J13" s="1268"/>
      <c r="K13" s="1268"/>
      <c r="L13" s="1268"/>
      <c r="M13" s="1311"/>
      <c r="N13" s="510"/>
      <c r="Q13" s="2258"/>
      <c r="R13" s="1332"/>
      <c r="S13" s="1332"/>
      <c r="T13" s="357"/>
      <c r="U13" s="1279"/>
      <c r="V13" s="366" t="s">
        <v>429</v>
      </c>
      <c r="W13" s="368"/>
      <c r="X13" s="368"/>
      <c r="Y13" s="368"/>
      <c r="Z13" s="368"/>
      <c r="AA13" s="368"/>
      <c r="AB13" s="368"/>
      <c r="AC13" s="368"/>
      <c r="AD13" s="368"/>
      <c r="AE13" s="368"/>
      <c r="AF13" s="367"/>
      <c r="AG13" s="368"/>
      <c r="AH13" s="368"/>
      <c r="AI13" s="368"/>
      <c r="AJ13" s="368"/>
      <c r="AK13" s="368"/>
      <c r="AL13" s="368"/>
      <c r="AM13" s="368"/>
      <c r="AN13" s="368"/>
      <c r="AO13" s="367"/>
      <c r="AP13" s="368"/>
      <c r="AQ13" s="304"/>
      <c r="AS13" s="501"/>
      <c r="AT13" s="501" t="str">
        <f>IF(V13="","",V13)</f>
        <v>Добавить группу потребителей</v>
      </c>
      <c r="AU13" s="501"/>
      <c r="AV13" s="501"/>
      <c r="AW13" s="1156">
        <v>0</v>
      </c>
    </row>
    <row customHeight="1" ht="14.25" hidden="1">
      <c r="A14" s="1268"/>
      <c r="B14" s="1268"/>
      <c r="C14" s="1268"/>
      <c r="D14" s="1268"/>
      <c r="E14" s="2291"/>
      <c r="F14" s="2291"/>
      <c r="G14" s="2291"/>
      <c r="H14" s="2290"/>
      <c r="I14" s="1268"/>
      <c r="J14" s="1268"/>
      <c r="K14" s="1268"/>
      <c r="L14" s="1268"/>
      <c r="M14" s="1311"/>
      <c r="N14" s="689"/>
      <c r="O14" s="689"/>
      <c r="P14" s="510"/>
      <c r="Q14" s="361"/>
      <c r="R14" s="376"/>
      <c r="S14" s="356"/>
      <c r="T14" s="361"/>
      <c r="U14" s="1387"/>
      <c r="V14" s="1388"/>
      <c r="W14" s="1389"/>
      <c r="X14" s="1389"/>
      <c r="Y14" s="1389"/>
      <c r="Z14" s="1389"/>
      <c r="AA14" s="1389"/>
      <c r="AB14" s="1389"/>
      <c r="AC14" s="1389"/>
      <c r="AD14" s="1389"/>
      <c r="AE14" s="1389"/>
      <c r="AF14" s="1389"/>
      <c r="AG14" s="1389"/>
      <c r="AH14" s="1389"/>
      <c r="AI14" s="1389"/>
      <c r="AJ14" s="1389"/>
      <c r="AK14" s="1389"/>
      <c r="AL14" s="1389"/>
      <c r="AM14" s="1389"/>
      <c r="AN14" s="1389"/>
      <c r="AO14" s="1389"/>
      <c r="AP14" s="1389"/>
      <c r="AQ14" s="1390"/>
      <c r="AS14" s="501"/>
      <c r="AT14" s="501" t="str">
        <f>IF(V14="","",V14)</f>
        <v/>
      </c>
      <c r="AU14" s="501"/>
      <c r="AV14" s="501"/>
      <c r="AW14" s="1156">
        <v>0</v>
      </c>
    </row>
    <row s="1643" customFormat="1" customHeight="1" ht="14.25" hidden="1">
      <c r="A15" s="1375"/>
      <c r="B15" s="1375"/>
      <c r="C15" s="1375"/>
      <c r="D15" s="1375"/>
      <c r="E15" s="2291"/>
      <c r="F15" s="2291"/>
      <c r="G15" s="2290"/>
      <c r="H15" s="1375"/>
      <c r="I15" s="1375"/>
      <c r="J15" s="1375"/>
      <c r="K15" s="1375"/>
      <c r="L15" s="1375"/>
      <c r="M15" s="1378"/>
      <c r="N15" s="1379"/>
      <c r="O15" s="1379"/>
      <c r="P15" s="352"/>
      <c r="Q15" s="1317"/>
      <c r="R15" s="1318"/>
      <c r="S15" s="1317"/>
      <c r="T15" s="1317"/>
      <c r="U15" s="1319"/>
      <c r="V15" s="1320" t="s">
        <v>176</v>
      </c>
      <c r="W15" s="1321"/>
      <c r="X15" s="1321"/>
      <c r="Y15" s="1321"/>
      <c r="Z15" s="1321"/>
      <c r="AA15" s="1321"/>
      <c r="AB15" s="1321"/>
      <c r="AC15" s="1321"/>
      <c r="AD15" s="1321"/>
      <c r="AE15" s="1321"/>
      <c r="AF15" s="1321"/>
      <c r="AG15" s="1321"/>
      <c r="AH15" s="1321"/>
      <c r="AI15" s="1321"/>
      <c r="AJ15" s="1321"/>
      <c r="AK15" s="1321"/>
      <c r="AL15" s="1321"/>
      <c r="AM15" s="1321"/>
      <c r="AN15" s="1321"/>
      <c r="AO15" s="1321"/>
      <c r="AP15" s="1321"/>
      <c r="AQ15" s="1321"/>
      <c r="AS15" s="790"/>
      <c r="AT15" s="790" t="str">
        <f>IF(V15="","",V15)</f>
        <v>Добавить источник для дифференциации</v>
      </c>
      <c r="AU15" s="790"/>
      <c r="AV15" s="790"/>
      <c r="AW15" s="519">
        <v>0</v>
      </c>
    </row>
    <row s="1643" customFormat="1" customHeight="1" ht="14.25" hidden="1">
      <c r="A16" s="1375"/>
      <c r="B16" s="1375"/>
      <c r="C16" s="1375"/>
      <c r="D16" s="1375"/>
      <c r="E16" s="2291"/>
      <c r="F16" s="2290"/>
      <c r="G16" s="1375"/>
      <c r="H16" s="1375"/>
      <c r="I16" s="1375"/>
      <c r="J16" s="1375"/>
      <c r="K16" s="1375"/>
      <c r="L16" s="1375"/>
      <c r="M16" s="1378"/>
      <c r="N16" s="1380"/>
      <c r="O16" s="1380"/>
      <c r="P16" s="352"/>
      <c r="Q16" s="1317"/>
      <c r="R16" s="1318"/>
      <c r="S16" s="1317"/>
      <c r="T16" s="1317"/>
      <c r="U16" s="1323"/>
      <c r="V16" s="1324" t="s">
        <v>177</v>
      </c>
      <c r="W16" s="1325"/>
      <c r="X16" s="1325"/>
      <c r="Y16" s="1325"/>
      <c r="Z16" s="1325"/>
      <c r="AA16" s="1325"/>
      <c r="AB16" s="1325"/>
      <c r="AC16" s="1325"/>
      <c r="AD16" s="1325"/>
      <c r="AE16" s="1325"/>
      <c r="AF16" s="1325"/>
      <c r="AG16" s="1325"/>
      <c r="AH16" s="1325"/>
      <c r="AI16" s="1325"/>
      <c r="AJ16" s="1325"/>
      <c r="AK16" s="1325"/>
      <c r="AL16" s="1325"/>
      <c r="AM16" s="1325"/>
      <c r="AN16" s="1325"/>
      <c r="AO16" s="1325"/>
      <c r="AP16" s="1325"/>
      <c r="AQ16" s="1325"/>
      <c r="AS16" s="790"/>
      <c r="AT16" s="790" t="str">
        <f>IF(V16="","",V16)</f>
        <v>Добавить централизованную систему для дифференциации</v>
      </c>
      <c r="AU16" s="790"/>
      <c r="AV16" s="790"/>
      <c r="AW16" s="519">
        <v>0</v>
      </c>
    </row>
    <row s="1643" customFormat="1" customHeight="1" ht="14.25" hidden="1">
      <c r="A17" s="1375"/>
      <c r="B17" s="1375"/>
      <c r="C17" s="1375"/>
      <c r="D17" s="1375"/>
      <c r="E17" s="2290"/>
      <c r="F17" s="1375"/>
      <c r="G17" s="1375"/>
      <c r="H17" s="1375"/>
      <c r="I17" s="1375"/>
      <c r="J17" s="1375"/>
      <c r="K17" s="1375"/>
      <c r="L17" s="1375"/>
      <c r="M17" s="1378"/>
      <c r="N17" s="1380"/>
      <c r="O17" s="1380"/>
      <c r="P17" s="352"/>
      <c r="Q17" s="1317"/>
      <c r="R17" s="1318"/>
      <c r="S17" s="1317"/>
      <c r="T17" s="1317"/>
      <c r="U17" s="1323"/>
      <c r="V17" s="1326" t="s">
        <v>178</v>
      </c>
      <c r="W17" s="1325"/>
      <c r="X17" s="1325"/>
      <c r="Y17" s="1325"/>
      <c r="Z17" s="1325"/>
      <c r="AA17" s="1325"/>
      <c r="AB17" s="1325"/>
      <c r="AC17" s="1325"/>
      <c r="AD17" s="1325"/>
      <c r="AE17" s="1325"/>
      <c r="AF17" s="1325"/>
      <c r="AG17" s="1325"/>
      <c r="AH17" s="1325"/>
      <c r="AI17" s="1325"/>
      <c r="AJ17" s="1325"/>
      <c r="AK17" s="1325"/>
      <c r="AL17" s="1325"/>
      <c r="AM17" s="1325"/>
      <c r="AN17" s="1325"/>
      <c r="AO17" s="1325"/>
      <c r="AP17" s="1325"/>
      <c r="AQ17" s="1325"/>
      <c r="AS17" s="790"/>
      <c r="AT17" s="790" t="str">
        <f>IF(V17="","",V17)</f>
        <v>Добавить территорию для дифференциации</v>
      </c>
      <c r="AU17" s="790"/>
      <c r="AV17" s="790"/>
      <c r="AW17" s="519">
        <v>0</v>
      </c>
    </row>
    <row customHeight="1" ht="14.25" hidden="1">
      <c r="AF18" s="328"/>
      <c r="AO18" s="328"/>
      <c r="AW18" s="1156">
        <v>0</v>
      </c>
    </row>
    <row customHeight="1" ht="14.25" hidden="1">
      <c r="AG19" s="1361"/>
      <c r="AH19" s="1361"/>
      <c r="AI19" s="1361"/>
      <c r="AJ19" s="1361"/>
      <c r="AK19" s="1362"/>
      <c r="AL19" s="2268"/>
      <c r="AM19" s="2269" t="s">
        <v>61</v>
      </c>
      <c r="AN19" s="2268"/>
      <c r="AO19" s="2269" t="s">
        <v>61</v>
      </c>
      <c r="AW19" s="1156">
        <v>0</v>
      </c>
    </row>
    <row customHeight="1" ht="14.25" hidden="1">
      <c r="AG20" s="1361"/>
      <c r="AH20" s="1361"/>
      <c r="AI20" s="1361"/>
      <c r="AJ20" s="1361"/>
      <c r="AK20" s="1362"/>
      <c r="AL20" s="2268"/>
      <c r="AM20" s="2269"/>
      <c r="AN20" s="2268"/>
      <c r="AO20" s="2269"/>
      <c r="AW20" s="1156">
        <v>0</v>
      </c>
    </row>
    <row customHeight="1" ht="14.25" hidden="1">
      <c r="AG21" s="1361"/>
      <c r="AH21" s="1361"/>
      <c r="AI21" s="1361"/>
      <c r="AJ21" s="1361"/>
      <c r="AK21" s="1362"/>
      <c r="AL21" s="2268"/>
      <c r="AM21" s="2269"/>
      <c r="AN21" s="2268"/>
      <c r="AO21" s="2269"/>
      <c r="AW21" s="1156">
        <v>0</v>
      </c>
    </row>
    <row customHeight="1" ht="14.25" hidden="1">
      <c r="AG22" s="1361"/>
      <c r="AH22" s="1361"/>
      <c r="AI22" s="1361"/>
      <c r="AJ22" s="1361"/>
      <c r="AK22" s="329" t="str">
        <f>AL19&amp;"-"&amp;AN19</f>
        <v>-</v>
      </c>
      <c r="AL22" s="2269"/>
      <c r="AM22" s="2269"/>
      <c r="AN22" s="2269"/>
      <c r="AO22" s="2269"/>
      <c r="AW22" s="1156">
        <v>0</v>
      </c>
    </row>
    <row customHeight="1" ht="14.25" hidden="1">
      <c r="AO23" s="328"/>
      <c r="AW23" s="1156">
        <v>0</v>
      </c>
    </row>
    <row s="1367" customFormat="1" customHeight="1" ht="22.5" hidden="1">
      <c r="A24" s="1156"/>
      <c r="B24" s="1156"/>
      <c r="C24" s="1156"/>
      <c r="D24" s="1156"/>
      <c r="E24" s="1156"/>
      <c r="F24" s="1156"/>
      <c r="G24" s="1156"/>
      <c r="H24" s="1156"/>
      <c r="I24" s="1156"/>
      <c r="J24" s="1156"/>
      <c r="K24" s="1156"/>
      <c r="L24" s="1156"/>
      <c r="M24" s="1328"/>
      <c r="N24" s="1329"/>
      <c r="O24" s="1329"/>
      <c r="P24" s="1346" t="s">
        <v>431</v>
      </c>
      <c r="Q24" s="1363"/>
      <c r="R24" s="1372"/>
      <c r="S24" s="1372"/>
      <c r="T24" s="1372"/>
      <c r="U24" s="730"/>
      <c r="AC24" s="1368"/>
      <c r="AE24" s="1368"/>
      <c r="AF24" s="1367"/>
      <c r="AL24" s="1368"/>
      <c r="AN24" s="1368"/>
      <c r="AO24" s="1367"/>
      <c r="AR24" s="512"/>
      <c r="AS24" s="512"/>
      <c r="AT24" s="512"/>
      <c r="AU24" s="512"/>
      <c r="AV24" s="512"/>
      <c r="AW24" s="1161">
        <v>0</v>
      </c>
    </row>
    <row s="1367" customFormat="1" customHeight="1" ht="14.25" hidden="1">
      <c r="A25" s="1156"/>
      <c r="B25" s="1156"/>
      <c r="C25" s="1156"/>
      <c r="D25" s="1156"/>
      <c r="E25" s="1156"/>
      <c r="F25" s="1156"/>
      <c r="G25" s="1156"/>
      <c r="H25" s="1156"/>
      <c r="I25" s="1156"/>
      <c r="J25" s="1156"/>
      <c r="K25" s="1156"/>
      <c r="L25" s="1156"/>
      <c r="M25" s="1328"/>
      <c r="N25" s="1329"/>
      <c r="O25" s="1329"/>
      <c r="P25" s="1329"/>
      <c r="Q25" s="1363"/>
      <c r="R25" s="1372"/>
      <c r="S25" s="1372"/>
      <c r="T25" s="1372"/>
      <c r="U25" s="730"/>
      <c r="AF25" s="1367"/>
      <c r="AO25" s="1367"/>
      <c r="AR25" s="512"/>
      <c r="AS25" s="512"/>
      <c r="AT25" s="512"/>
      <c r="AU25" s="512"/>
      <c r="AV25" s="512"/>
      <c r="AW25" s="1161">
        <v>0</v>
      </c>
    </row>
    <row s="1367" customFormat="1" customHeight="1" ht="14.25" hidden="1">
      <c r="A26" s="1156"/>
      <c r="B26" s="1156"/>
      <c r="C26" s="1156"/>
      <c r="D26" s="1156"/>
      <c r="E26" s="1156"/>
      <c r="F26" s="1156"/>
      <c r="G26" s="1156"/>
      <c r="H26" s="1156"/>
      <c r="I26" s="1156"/>
      <c r="J26" s="1156"/>
      <c r="K26" s="1156"/>
      <c r="L26" s="1156"/>
      <c r="M26" s="1328"/>
      <c r="N26" s="1329"/>
      <c r="O26" s="1329"/>
      <c r="P26" s="1311" t="s">
        <v>432</v>
      </c>
      <c r="Q26" s="1363"/>
      <c r="R26" s="1372"/>
      <c r="S26" s="1372"/>
      <c r="T26" s="1372"/>
      <c r="U26" s="730"/>
      <c r="V26" s="1161" t="s">
        <v>433</v>
      </c>
      <c r="AD26" s="187" t="s">
        <v>434</v>
      </c>
      <c r="AF26" s="187" t="s">
        <v>435</v>
      </c>
      <c r="AG26" s="1161" t="s">
        <v>433</v>
      </c>
      <c r="AM26" s="187" t="s">
        <v>436</v>
      </c>
      <c r="AO26" s="187" t="s">
        <v>435</v>
      </c>
      <c r="AR26" s="512"/>
      <c r="AS26" s="512"/>
      <c r="AT26" s="512"/>
      <c r="AU26" s="512"/>
      <c r="AV26" s="512"/>
      <c r="AW26" s="1161">
        <v>0</v>
      </c>
    </row>
    <row customHeight="1" ht="14.25" hidden="1">
      <c r="P27" s="1311"/>
      <c r="AW27" s="1156">
        <v>0</v>
      </c>
    </row>
    <row customHeight="1" ht="14.25" hidden="1">
      <c r="P28" s="1311"/>
      <c r="AW28" s="1156">
        <v>0</v>
      </c>
    </row>
    <row customHeight="1" ht="14.699999999999998">
      <c r="R29" s="377"/>
      <c r="S29" s="377"/>
      <c r="T29" s="377"/>
      <c r="U29" s="1276"/>
      <c r="V29" s="364"/>
      <c r="W29" s="364"/>
      <c r="X29" s="510"/>
      <c r="Y29" s="510"/>
      <c r="Z29" s="510"/>
      <c r="AA29" s="510"/>
      <c r="AB29" s="510"/>
      <c r="AC29" s="510"/>
      <c r="AD29" s="510"/>
      <c r="AE29" s="510"/>
      <c r="AF29" s="510"/>
      <c r="AG29" s="510"/>
      <c r="AH29" s="510"/>
      <c r="AI29" s="510"/>
      <c r="AJ29" s="510"/>
      <c r="AK29" s="510"/>
      <c r="AL29" s="510"/>
      <c r="AM29" s="510"/>
      <c r="AN29" s="510"/>
      <c r="AO29" s="510"/>
      <c r="AW29" s="1156">
        <v>14</v>
      </c>
    </row>
    <row customHeight="1" ht="56.699999999999996">
      <c r="R30" s="377"/>
      <c r="S30" s="377"/>
      <c r="T30" s="377"/>
      <c r="U30" s="2249" t="str">
        <f>IF(TEMPLATE_GROUP="P",PT_P_FORM_HEAT_6_NAME_FORM,PT_R_FORM_HEAT_23_NAME_FORM)</f>
        <v>Форма 21. Информация о предложении регулируемой организации о расчетной величине тарифов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 о расчетной величине тарифов на горячую воду, поставляемую единой теплоснабжающей организацией в ценовых зонах теплоснабжения потребителям с использованием открытых систем теплоснабжения (горячего водоснабжения), установленных в виде формулы двухкомпонентного тарифа с использованием компонента на теплоноситель и компонента на тепловую энергию, в том числе о числовых значениях компонентов указанного тарифа</v>
      </c>
      <c r="V30" s="2249"/>
      <c r="W30" s="2249"/>
      <c r="X30" s="2249"/>
      <c r="Y30" s="2249"/>
      <c r="Z30" s="2249"/>
      <c r="AA30" s="2249"/>
      <c r="AB30" s="2249"/>
      <c r="AC30" s="2249"/>
      <c r="AD30" s="2249"/>
      <c r="AE30" s="2249"/>
      <c r="AF30" s="2249"/>
      <c r="AG30" s="2249"/>
      <c r="AH30" s="2249"/>
      <c r="AI30" s="2249"/>
      <c r="AJ30" s="2249"/>
      <c r="AK30" s="2249"/>
      <c r="AL30" s="2249"/>
      <c r="AM30" s="2249"/>
      <c r="AN30" s="2249"/>
      <c r="AO30" s="1244"/>
      <c r="AW30" s="1156">
        <v>54</v>
      </c>
    </row>
    <row customHeight="1" ht="14.699999999999998">
      <c r="R31" s="377"/>
      <c r="S31" s="377"/>
      <c r="T31" s="377"/>
      <c r="U31" s="2250" t="str">
        <f>IF(org=0,"Не определено",org)</f>
        <v>ПАО "КГК"</v>
      </c>
      <c r="V31" s="2250"/>
      <c r="W31" s="2250"/>
      <c r="X31" s="2250"/>
      <c r="Y31" s="2250"/>
      <c r="Z31" s="2250"/>
      <c r="AA31" s="2250"/>
      <c r="AB31" s="2250"/>
      <c r="AC31" s="2250"/>
      <c r="AD31" s="2250"/>
      <c r="AE31" s="2250"/>
      <c r="AF31" s="2250"/>
      <c r="AG31" s="2250"/>
      <c r="AH31" s="2250"/>
      <c r="AI31" s="2250"/>
      <c r="AJ31" s="2250"/>
      <c r="AK31" s="2250"/>
      <c r="AL31" s="2250"/>
      <c r="AM31" s="2250"/>
      <c r="AN31" s="2250"/>
      <c r="AO31" s="1244"/>
      <c r="AW31" s="1156">
        <v>14</v>
      </c>
    </row>
    <row customHeight="1" ht="14.25" hidden="1">
      <c r="R32" s="377"/>
      <c r="S32" s="377"/>
      <c r="T32" s="377"/>
      <c r="U32" s="1276"/>
      <c r="V32" s="364"/>
      <c r="W32" s="364"/>
      <c r="X32" s="323"/>
      <c r="Y32" s="323"/>
      <c r="Z32" s="323"/>
      <c r="AA32" s="323"/>
      <c r="AB32" s="323"/>
      <c r="AC32" s="323"/>
      <c r="AD32" s="323"/>
      <c r="AE32" s="323"/>
      <c r="AF32" s="323"/>
      <c r="AG32" s="323"/>
      <c r="AH32" s="323"/>
      <c r="AI32" s="323"/>
      <c r="AJ32" s="323"/>
      <c r="AK32" s="323"/>
      <c r="AL32" s="323"/>
      <c r="AM32" s="323"/>
      <c r="AN32" s="323"/>
      <c r="AO32" s="323"/>
      <c r="AP32" s="510"/>
      <c r="AW32" s="1156">
        <v>0</v>
      </c>
    </row>
    <row s="1854" customFormat="1" customHeight="1" ht="25.5" hidden="1">
      <c r="A33" s="1249"/>
      <c r="B33" s="1249"/>
      <c r="C33" s="1249"/>
      <c r="D33" s="1249"/>
      <c r="E33" s="1249"/>
      <c r="F33" s="1249"/>
      <c r="G33" s="1249"/>
      <c r="H33" s="1249"/>
      <c r="I33" s="1249"/>
      <c r="J33" s="1249"/>
      <c r="K33" s="1249"/>
      <c r="L33" s="1249"/>
      <c r="M33" s="1381"/>
      <c r="N33" s="1249"/>
      <c r="O33" s="1249"/>
      <c r="P33" s="1249"/>
      <c r="U33" s="2251" t="s">
        <v>42</v>
      </c>
      <c r="V33" s="2251"/>
      <c r="W33" s="1373"/>
      <c r="X33" s="2252" t="str">
        <f>IF(TITLE_NAME_OR_PR_CHANGE="",IF(TITLE_NAME_OR_PR="","",TITLE_NAME_OR_PR),TITLE_NAME_OR_PR_CHANGE)</f>
        <v/>
      </c>
      <c r="Y33" s="2252"/>
      <c r="Z33" s="2252"/>
      <c r="AA33" s="2252"/>
      <c r="AB33" s="2252"/>
      <c r="AC33" s="2252"/>
      <c r="AD33" s="2252"/>
      <c r="AE33" s="2252"/>
      <c r="AF33" s="327"/>
      <c r="AG33" s="2252" t="str">
        <f>IF(TITLE_NAME_OR_PR_CHANGE="",IF(TITLE_NAME_OR_PR="","",TITLE_NAME_OR_PR),TITLE_NAME_OR_PR_CHANGE)</f>
        <v/>
      </c>
      <c r="AH33" s="2252"/>
      <c r="AI33" s="2252"/>
      <c r="AJ33" s="2252"/>
      <c r="AK33" s="2252"/>
      <c r="AL33" s="2252"/>
      <c r="AM33" s="2252"/>
      <c r="AN33" s="2252"/>
      <c r="AO33" s="327"/>
      <c r="AP33" s="327"/>
      <c r="AQ33" s="281"/>
      <c r="AR33" s="369"/>
      <c r="AS33" s="369"/>
      <c r="AT33" s="369"/>
      <c r="AU33" s="369"/>
      <c r="AV33" s="369"/>
      <c r="AW33" s="419">
        <v>0</v>
      </c>
    </row>
    <row s="1854" customFormat="1" customHeight="1" ht="18.75" hidden="1">
      <c r="A34" s="1249"/>
      <c r="B34" s="1249"/>
      <c r="C34" s="1249"/>
      <c r="D34" s="1249"/>
      <c r="E34" s="1249"/>
      <c r="F34" s="1249"/>
      <c r="G34" s="1249"/>
      <c r="H34" s="1249"/>
      <c r="I34" s="1249"/>
      <c r="J34" s="1249"/>
      <c r="K34" s="1249"/>
      <c r="L34" s="1249"/>
      <c r="M34" s="1381"/>
      <c r="N34" s="1249"/>
      <c r="O34" s="1249"/>
      <c r="P34" s="1249"/>
      <c r="U34" s="2251" t="s">
        <v>437</v>
      </c>
      <c r="V34" s="2251"/>
      <c r="W34" s="1373"/>
      <c r="X34" s="2265" t="str">
        <f>IF(TITLE_DATE_PR_CHANGE="",IF(TITLE_DATE_PR="","",TITLE_DATE_PR),TITLE_DATE_PR_CHANGE)</f>
        <v>46142</v>
      </c>
      <c r="Y34" s="2265"/>
      <c r="Z34" s="2265"/>
      <c r="AA34" s="2265"/>
      <c r="AB34" s="2265"/>
      <c r="AC34" s="2265"/>
      <c r="AD34" s="2265"/>
      <c r="AE34" s="2265"/>
      <c r="AF34" s="327"/>
      <c r="AG34" s="2265" t="str">
        <f>IF(TITLE_DATE_PR_CHANGE="",IF(TITLE_DATE_PR="","",TITLE_DATE_PR),TITLE_DATE_PR_CHANGE)</f>
        <v>46142</v>
      </c>
      <c r="AH34" s="2265"/>
      <c r="AI34" s="2265"/>
      <c r="AJ34" s="2265"/>
      <c r="AK34" s="2265"/>
      <c r="AL34" s="2265"/>
      <c r="AM34" s="2265"/>
      <c r="AN34" s="2265"/>
      <c r="AO34" s="327"/>
      <c r="AP34" s="327"/>
      <c r="AQ34" s="281"/>
      <c r="AR34" s="369"/>
      <c r="AS34" s="369"/>
      <c r="AT34" s="369"/>
      <c r="AU34" s="369"/>
      <c r="AV34" s="369"/>
      <c r="AW34" s="419">
        <v>0</v>
      </c>
    </row>
    <row s="1854" customFormat="1" customHeight="1" ht="18.75" hidden="1">
      <c r="A35" s="1249"/>
      <c r="B35" s="1249"/>
      <c r="C35" s="1249"/>
      <c r="D35" s="1249"/>
      <c r="E35" s="1249"/>
      <c r="F35" s="1249"/>
      <c r="G35" s="1249"/>
      <c r="H35" s="1249"/>
      <c r="I35" s="1249"/>
      <c r="J35" s="1249"/>
      <c r="K35" s="1249"/>
      <c r="L35" s="1249"/>
      <c r="M35" s="1381"/>
      <c r="N35" s="1249"/>
      <c r="O35" s="1249"/>
      <c r="P35" s="1249"/>
      <c r="U35" s="2251" t="s">
        <v>438</v>
      </c>
      <c r="V35" s="2251"/>
      <c r="W35" s="1373"/>
      <c r="X35" s="2252" t="str">
        <f>IF(TITLE_NUMBER_PR_CHANGE="",IF(TITLE_NUMBER_PR="","",TITLE_NUMBER_PR),TITLE_NUMBER_PR_CHANGE)</f>
        <v>206Т</v>
      </c>
      <c r="Y35" s="2252"/>
      <c r="Z35" s="2252"/>
      <c r="AA35" s="2252"/>
      <c r="AB35" s="2252"/>
      <c r="AC35" s="2252"/>
      <c r="AD35" s="2252"/>
      <c r="AE35" s="2252"/>
      <c r="AF35" s="327"/>
      <c r="AG35" s="2252" t="str">
        <f>IF(TITLE_NUMBER_PR_CHANGE="",IF(TITLE_NUMBER_PR="","",TITLE_NUMBER_PR),TITLE_NUMBER_PR_CHANGE)</f>
        <v>206Т</v>
      </c>
      <c r="AH35" s="2252"/>
      <c r="AI35" s="2252"/>
      <c r="AJ35" s="2252"/>
      <c r="AK35" s="2252"/>
      <c r="AL35" s="2252"/>
      <c r="AM35" s="2252"/>
      <c r="AN35" s="2252"/>
      <c r="AO35" s="327"/>
      <c r="AP35" s="327"/>
      <c r="AQ35" s="281"/>
      <c r="AR35" s="369"/>
      <c r="AS35" s="369"/>
      <c r="AT35" s="369"/>
      <c r="AU35" s="369"/>
      <c r="AV35" s="369"/>
      <c r="AW35" s="419">
        <v>0</v>
      </c>
    </row>
    <row s="1854" customFormat="1" customHeight="1" ht="18.75" hidden="1">
      <c r="A36" s="1249"/>
      <c r="B36" s="1249"/>
      <c r="C36" s="1249"/>
      <c r="D36" s="1249"/>
      <c r="E36" s="1249"/>
      <c r="F36" s="1249"/>
      <c r="G36" s="1249"/>
      <c r="H36" s="1249"/>
      <c r="I36" s="1249"/>
      <c r="J36" s="1249"/>
      <c r="K36" s="1249"/>
      <c r="L36" s="1249"/>
      <c r="M36" s="1381"/>
      <c r="N36" s="1249"/>
      <c r="O36" s="1249"/>
      <c r="P36" s="1249"/>
      <c r="U36" s="2251" t="s">
        <v>43</v>
      </c>
      <c r="V36" s="2251"/>
      <c r="W36" s="1373"/>
      <c r="X36" s="2252" t="str">
        <f>IF(TITLE_IST_PUB_CHANGE="",IF(TITLE_IST_PUB="","",TITLE_IST_PUB),TITLE_IST_PUB_CHANGE)</f>
        <v/>
      </c>
      <c r="Y36" s="2252"/>
      <c r="Z36" s="2252"/>
      <c r="AA36" s="2252"/>
      <c r="AB36" s="2252"/>
      <c r="AC36" s="2252"/>
      <c r="AD36" s="2252"/>
      <c r="AE36" s="2252"/>
      <c r="AF36" s="327"/>
      <c r="AG36" s="2252" t="str">
        <f>IF(TITLE_IST_PUB_CHANGE="",IF(TITLE_IST_PUB="","",TITLE_IST_PUB),TITLE_IST_PUB_CHANGE)</f>
        <v/>
      </c>
      <c r="AH36" s="2252"/>
      <c r="AI36" s="2252"/>
      <c r="AJ36" s="2252"/>
      <c r="AK36" s="2252"/>
      <c r="AL36" s="2252"/>
      <c r="AM36" s="2252"/>
      <c r="AN36" s="2252"/>
      <c r="AO36" s="327"/>
      <c r="AP36" s="327"/>
      <c r="AQ36" s="281"/>
      <c r="AR36" s="369"/>
      <c r="AS36" s="369"/>
      <c r="AT36" s="369"/>
      <c r="AU36" s="369"/>
      <c r="AV36" s="369"/>
      <c r="AW36" s="419">
        <v>0</v>
      </c>
    </row>
    <row customHeight="1" ht="14.25">
      <c r="R37" s="377"/>
      <c r="S37" s="377"/>
      <c r="T37" s="377"/>
      <c r="U37" s="1276"/>
      <c r="V37" s="364"/>
      <c r="W37" s="364"/>
      <c r="X37" s="323"/>
      <c r="Y37" s="323"/>
      <c r="Z37" s="323"/>
      <c r="AA37" s="323"/>
      <c r="AB37" s="323"/>
      <c r="AC37" s="323"/>
      <c r="AD37" s="323"/>
      <c r="AE37" s="323"/>
      <c r="AF37" s="323"/>
      <c r="AG37" s="323"/>
      <c r="AH37" s="323"/>
      <c r="AI37" s="323"/>
      <c r="AJ37" s="323"/>
      <c r="AK37" s="323"/>
      <c r="AL37" s="323"/>
      <c r="AM37" s="323"/>
      <c r="AN37" s="323"/>
      <c r="AO37" s="323"/>
      <c r="AP37" s="510"/>
      <c r="AW37" s="1156">
        <v>0</v>
      </c>
    </row>
    <row s="1854" customFormat="1" customHeight="1" ht="18.75">
      <c r="A38" s="1249"/>
      <c r="B38" s="1249"/>
      <c r="C38" s="1249"/>
      <c r="D38" s="1249"/>
      <c r="E38" s="1249"/>
      <c r="F38" s="1249"/>
      <c r="G38" s="1249"/>
      <c r="H38" s="1249"/>
      <c r="I38" s="1249"/>
      <c r="J38" s="1249"/>
      <c r="K38" s="1249"/>
      <c r="L38" s="1249"/>
      <c r="M38" s="1381"/>
      <c r="N38" s="1249"/>
      <c r="O38" s="1249"/>
      <c r="P38" s="1249"/>
      <c r="U38" s="2251" t="s">
        <v>439</v>
      </c>
      <c r="V38" s="2251"/>
      <c r="W38" s="1373"/>
      <c r="X38" s="2265" t="str">
        <f>IF(TITLE_DATE_PR_CHANGE="",IF(TITLE_DATE_PR="","",TITLE_DATE_PR),TITLE_DATE_PR_CHANGE)</f>
        <v>46142</v>
      </c>
      <c r="Y38" s="2265"/>
      <c r="Z38" s="2265"/>
      <c r="AA38" s="2265"/>
      <c r="AB38" s="2265"/>
      <c r="AC38" s="2265"/>
      <c r="AD38" s="2265"/>
      <c r="AE38" s="2265"/>
      <c r="AF38" s="327"/>
      <c r="AG38" s="2265" t="str">
        <f>IF(TITLE_DATE_PR_CHANGE="",IF(TITLE_DATE_PR="","",TITLE_DATE_PR),TITLE_DATE_PR_CHANGE)</f>
        <v>46142</v>
      </c>
      <c r="AH38" s="2265"/>
      <c r="AI38" s="2265"/>
      <c r="AJ38" s="2265"/>
      <c r="AK38" s="2265"/>
      <c r="AL38" s="2265"/>
      <c r="AM38" s="2265"/>
      <c r="AN38" s="2265"/>
      <c r="AO38" s="327"/>
      <c r="AP38" s="327"/>
      <c r="AQ38" s="281"/>
      <c r="AR38" s="369"/>
      <c r="AS38" s="369"/>
      <c r="AT38" s="369"/>
      <c r="AU38" s="369"/>
      <c r="AV38" s="369"/>
      <c r="AW38" s="419">
        <v>0</v>
      </c>
    </row>
    <row s="1854" customFormat="1" customHeight="1" ht="18.75">
      <c r="A39" s="1249"/>
      <c r="B39" s="1249"/>
      <c r="C39" s="1249"/>
      <c r="D39" s="1249"/>
      <c r="E39" s="1249"/>
      <c r="F39" s="1249"/>
      <c r="G39" s="1249"/>
      <c r="H39" s="1249"/>
      <c r="I39" s="1249"/>
      <c r="J39" s="1249"/>
      <c r="K39" s="1249"/>
      <c r="L39" s="1249"/>
      <c r="M39" s="1381"/>
      <c r="N39" s="1249"/>
      <c r="O39" s="1249"/>
      <c r="P39" s="1249"/>
      <c r="U39" s="2251" t="s">
        <v>440</v>
      </c>
      <c r="V39" s="2251"/>
      <c r="W39" s="1373"/>
      <c r="X39" s="2252" t="str">
        <f>IF(TITLE_NUMBER_PR_CHANGE="",IF(TITLE_NUMBER_PR="","",TITLE_NUMBER_PR),TITLE_NUMBER_PR_CHANGE)</f>
        <v>206Т</v>
      </c>
      <c r="Y39" s="2252"/>
      <c r="Z39" s="2252"/>
      <c r="AA39" s="2252"/>
      <c r="AB39" s="2252"/>
      <c r="AC39" s="2252"/>
      <c r="AD39" s="2252"/>
      <c r="AE39" s="2252"/>
      <c r="AF39" s="327"/>
      <c r="AG39" s="2252" t="str">
        <f>IF(TITLE_NUMBER_PR_CHANGE="",IF(TITLE_NUMBER_PR="","",TITLE_NUMBER_PR),TITLE_NUMBER_PR_CHANGE)</f>
        <v>206Т</v>
      </c>
      <c r="AH39" s="2252"/>
      <c r="AI39" s="2252"/>
      <c r="AJ39" s="2252"/>
      <c r="AK39" s="2252"/>
      <c r="AL39" s="2252"/>
      <c r="AM39" s="2252"/>
      <c r="AN39" s="2252"/>
      <c r="AO39" s="327"/>
      <c r="AP39" s="327"/>
      <c r="AQ39" s="281"/>
      <c r="AR39" s="369"/>
      <c r="AS39" s="369"/>
      <c r="AT39" s="369"/>
      <c r="AU39" s="369"/>
      <c r="AV39" s="369"/>
      <c r="AW39" s="419">
        <v>0</v>
      </c>
    </row>
    <row s="1854" customFormat="1" customHeight="1" ht="0">
      <c r="A40" s="1249"/>
      <c r="B40" s="1249"/>
      <c r="C40" s="1249"/>
      <c r="D40" s="1249"/>
      <c r="E40" s="1249"/>
      <c r="F40" s="1249"/>
      <c r="G40" s="1249"/>
      <c r="H40" s="1249"/>
      <c r="I40" s="1249"/>
      <c r="J40" s="1249"/>
      <c r="K40" s="1249"/>
      <c r="L40" s="1249"/>
      <c r="M40" s="1381"/>
      <c r="N40" s="1249"/>
      <c r="O40" s="1249"/>
      <c r="P40" s="1249"/>
      <c r="U40" s="324"/>
      <c r="V40" s="324"/>
      <c r="W40" s="1341"/>
      <c r="X40" s="327"/>
      <c r="Y40" s="327"/>
      <c r="Z40" s="327"/>
      <c r="AA40" s="327"/>
      <c r="AB40" s="327"/>
      <c r="AC40" s="327"/>
      <c r="AD40" s="327"/>
      <c r="AE40" s="327"/>
      <c r="AF40" s="279" t="s">
        <v>441</v>
      </c>
      <c r="AG40" s="327"/>
      <c r="AH40" s="327"/>
      <c r="AI40" s="327"/>
      <c r="AJ40" s="327"/>
      <c r="AK40" s="327"/>
      <c r="AL40" s="327"/>
      <c r="AM40" s="327"/>
      <c r="AN40" s="327"/>
      <c r="AO40" s="279" t="s">
        <v>441</v>
      </c>
      <c r="AR40" s="369"/>
      <c r="AS40" s="369"/>
      <c r="AT40" s="369"/>
      <c r="AU40" s="369"/>
      <c r="AV40" s="369"/>
      <c r="AW40" s="419">
        <v>0</v>
      </c>
    </row>
    <row customHeight="1" ht="14.699999999999998">
      <c r="R41" s="377"/>
      <c r="S41" s="377"/>
      <c r="T41" s="377"/>
      <c r="U41" s="1276"/>
      <c r="V41" s="364"/>
      <c r="W41" s="1245"/>
      <c r="X41" s="2253"/>
      <c r="Y41" s="2253"/>
      <c r="Z41" s="2253"/>
      <c r="AA41" s="2253"/>
      <c r="AB41" s="2253"/>
      <c r="AC41" s="2253"/>
      <c r="AD41" s="2253"/>
      <c r="AE41" s="2253"/>
      <c r="AF41" s="2253"/>
      <c r="AG41" s="2253"/>
      <c r="AH41" s="2253"/>
      <c r="AI41" s="2253"/>
      <c r="AJ41" s="2253"/>
      <c r="AK41" s="2253"/>
      <c r="AL41" s="2253"/>
      <c r="AM41" s="2253"/>
      <c r="AN41" s="2253"/>
      <c r="AO41" s="2253"/>
      <c r="AW41" s="1156">
        <v>14</v>
      </c>
    </row>
    <row customHeight="1" ht="14.699999999999998">
      <c r="R42" s="377"/>
      <c r="S42" s="377"/>
      <c r="T42" s="377"/>
      <c r="U42" s="2128" t="s">
        <v>317</v>
      </c>
      <c r="V42" s="2128"/>
      <c r="W42" s="2128"/>
      <c r="X42" s="2128"/>
      <c r="Y42" s="2128"/>
      <c r="Z42" s="2128"/>
      <c r="AA42" s="2128"/>
      <c r="AB42" s="2128"/>
      <c r="AC42" s="2128"/>
      <c r="AD42" s="2128"/>
      <c r="AE42" s="2128"/>
      <c r="AF42" s="2128"/>
      <c r="AG42" s="2128"/>
      <c r="AH42" s="2128"/>
      <c r="AI42" s="2128"/>
      <c r="AJ42" s="2128"/>
      <c r="AK42" s="2128"/>
      <c r="AL42" s="2128"/>
      <c r="AM42" s="2128"/>
      <c r="AN42" s="2128"/>
      <c r="AO42" s="2128"/>
      <c r="AP42" s="2128"/>
      <c r="AQ42" s="2128" t="s">
        <v>318</v>
      </c>
      <c r="AW42" s="1156">
        <v>14</v>
      </c>
    </row>
    <row customHeight="1" ht="14.699999999999998">
      <c r="R43" s="377"/>
      <c r="S43" s="377"/>
      <c r="T43" s="377"/>
      <c r="U43" s="2274" t="s">
        <v>89</v>
      </c>
      <c r="V43" s="2210" t="s">
        <v>442</v>
      </c>
      <c r="W43" s="302"/>
      <c r="X43" s="2275" t="s">
        <v>443</v>
      </c>
      <c r="Y43" s="2292"/>
      <c r="Z43" s="2292"/>
      <c r="AA43" s="2292"/>
      <c r="AB43" s="2292"/>
      <c r="AC43" s="2276"/>
      <c r="AD43" s="2276"/>
      <c r="AE43" s="2277"/>
      <c r="AF43" s="2278" t="s">
        <v>444</v>
      </c>
      <c r="AG43" s="2275" t="s">
        <v>443</v>
      </c>
      <c r="AH43" s="2292"/>
      <c r="AI43" s="2292"/>
      <c r="AJ43" s="2292"/>
      <c r="AK43" s="2292"/>
      <c r="AL43" s="2276"/>
      <c r="AM43" s="2276"/>
      <c r="AN43" s="2277"/>
      <c r="AO43" s="2278" t="s">
        <v>445</v>
      </c>
      <c r="AP43" s="2281" t="s">
        <v>446</v>
      </c>
      <c r="AQ43" s="2128"/>
      <c r="AW43" s="1156">
        <v>14</v>
      </c>
    </row>
    <row customHeight="1" ht="35.699999999999996">
      <c r="R44" s="377"/>
      <c r="S44" s="377"/>
      <c r="T44" s="377"/>
      <c r="U44" s="2274"/>
      <c r="V44" s="2210"/>
      <c r="W44" s="1032"/>
      <c r="X44" s="2295" t="s">
        <v>474</v>
      </c>
      <c r="Y44" s="2313" t="s">
        <v>475</v>
      </c>
      <c r="Z44" s="2313"/>
      <c r="AA44" s="2313"/>
      <c r="AB44" s="2313"/>
      <c r="AC44" s="2295" t="s">
        <v>450</v>
      </c>
      <c r="AD44" s="2612"/>
      <c r="AE44" s="2315"/>
      <c r="AF44" s="2279"/>
      <c r="AG44" s="2295" t="s">
        <v>474</v>
      </c>
      <c r="AH44" s="2313" t="s">
        <v>475</v>
      </c>
      <c r="AI44" s="2313"/>
      <c r="AJ44" s="2313"/>
      <c r="AK44" s="2313"/>
      <c r="AL44" s="2295" t="s">
        <v>450</v>
      </c>
      <c r="AM44" s="2612"/>
      <c r="AN44" s="2315"/>
      <c r="AO44" s="2279"/>
      <c r="AP44" s="2282"/>
      <c r="AQ44" s="2128"/>
      <c r="AW44" s="1156">
        <v>34</v>
      </c>
    </row>
    <row customHeight="1" ht="14.699999999999998">
      <c r="R45" s="377"/>
      <c r="S45" s="377"/>
      <c r="T45" s="377"/>
      <c r="U45" s="2274"/>
      <c r="V45" s="2210"/>
      <c r="W45" s="1032"/>
      <c r="X45" s="2326"/>
      <c r="Y45" s="2318" t="s">
        <v>476</v>
      </c>
      <c r="Z45" s="2271" t="s">
        <v>477</v>
      </c>
      <c r="AA45" s="2321"/>
      <c r="AB45" s="2272"/>
      <c r="AC45" s="2296"/>
      <c r="AD45" s="2613"/>
      <c r="AE45" s="2317"/>
      <c r="AF45" s="2279"/>
      <c r="AG45" s="2326"/>
      <c r="AH45" s="2318" t="s">
        <v>476</v>
      </c>
      <c r="AI45" s="2271" t="s">
        <v>477</v>
      </c>
      <c r="AJ45" s="2321"/>
      <c r="AK45" s="2272"/>
      <c r="AL45" s="2296"/>
      <c r="AM45" s="2613"/>
      <c r="AN45" s="2317"/>
      <c r="AO45" s="2279"/>
      <c r="AP45" s="2282"/>
      <c r="AQ45" s="2128"/>
      <c r="AW45" s="1156">
        <v>14</v>
      </c>
    </row>
    <row customHeight="1" ht="27.299999999999997">
      <c r="R46" s="377"/>
      <c r="S46" s="377"/>
      <c r="T46" s="377"/>
      <c r="U46" s="2274"/>
      <c r="V46" s="2210"/>
      <c r="W46" s="1032"/>
      <c r="X46" s="2326"/>
      <c r="Y46" s="2319"/>
      <c r="Z46" s="2318" t="s">
        <v>478</v>
      </c>
      <c r="AA46" s="2271" t="s">
        <v>479</v>
      </c>
      <c r="AB46" s="2272"/>
      <c r="AC46" s="2318" t="s">
        <v>460</v>
      </c>
      <c r="AD46" s="2322" t="s">
        <v>461</v>
      </c>
      <c r="AE46" s="2323"/>
      <c r="AF46" s="2279"/>
      <c r="AG46" s="2326"/>
      <c r="AH46" s="2319"/>
      <c r="AI46" s="2318" t="s">
        <v>478</v>
      </c>
      <c r="AJ46" s="2271" t="s">
        <v>479</v>
      </c>
      <c r="AK46" s="2272"/>
      <c r="AL46" s="2318" t="s">
        <v>460</v>
      </c>
      <c r="AM46" s="2322" t="s">
        <v>461</v>
      </c>
      <c r="AN46" s="2323"/>
      <c r="AO46" s="2279"/>
      <c r="AP46" s="2282"/>
      <c r="AQ46" s="2128"/>
      <c r="AW46" s="1156">
        <v>26</v>
      </c>
    </row>
    <row customHeight="1" ht="65.25">
      <c r="A47" s="1260"/>
      <c r="B47" s="1260" t="s">
        <v>143</v>
      </c>
      <c r="C47" s="1260" t="s">
        <v>144</v>
      </c>
      <c r="D47" s="1260" t="s">
        <v>145</v>
      </c>
      <c r="E47" s="1311" t="s">
        <v>451</v>
      </c>
      <c r="F47" s="1311" t="s">
        <v>452</v>
      </c>
      <c r="G47" s="1311" t="s">
        <v>453</v>
      </c>
      <c r="H47" s="1311" t="s">
        <v>454</v>
      </c>
      <c r="I47" s="1311" t="s">
        <v>455</v>
      </c>
      <c r="J47" s="1311" t="s">
        <v>456</v>
      </c>
      <c r="K47" s="1311" t="s">
        <v>457</v>
      </c>
      <c r="L47" s="1311" t="s">
        <v>480</v>
      </c>
      <c r="M47" s="1311" t="s">
        <v>432</v>
      </c>
      <c r="R47" s="377"/>
      <c r="S47" s="377"/>
      <c r="T47" s="377"/>
      <c r="U47" s="2274"/>
      <c r="V47" s="2210"/>
      <c r="W47" s="303"/>
      <c r="X47" s="2296"/>
      <c r="Y47" s="2320"/>
      <c r="Z47" s="2320"/>
      <c r="AA47" s="1223" t="s">
        <v>481</v>
      </c>
      <c r="AB47" s="1223" t="s">
        <v>482</v>
      </c>
      <c r="AC47" s="2320"/>
      <c r="AD47" s="2324"/>
      <c r="AE47" s="2325"/>
      <c r="AF47" s="2280"/>
      <c r="AG47" s="2296"/>
      <c r="AH47" s="2320"/>
      <c r="AI47" s="2320"/>
      <c r="AJ47" s="1223" t="s">
        <v>481</v>
      </c>
      <c r="AK47" s="1223" t="s">
        <v>482</v>
      </c>
      <c r="AL47" s="2320"/>
      <c r="AM47" s="2324"/>
      <c r="AN47" s="2325"/>
      <c r="AO47" s="2280"/>
      <c r="AP47" s="2283"/>
      <c r="AQ47" s="2128"/>
      <c r="AW47" s="1156">
        <v>62</v>
      </c>
    </row>
    <row s="1642" customFormat="1" customHeight="1" ht="11.25" hidden="1">
      <c r="A48" s="1260"/>
      <c r="B48" s="1260"/>
      <c r="C48" s="1260"/>
      <c r="D48" s="1260"/>
      <c r="E48" s="1260"/>
      <c r="F48" s="1260"/>
      <c r="G48" s="1260"/>
      <c r="H48" s="1260"/>
      <c r="I48" s="1260"/>
      <c r="J48" s="1260"/>
      <c r="K48" s="1260"/>
      <c r="L48" s="1260"/>
      <c r="M48" s="1311"/>
      <c r="N48" s="1329"/>
      <c r="O48" s="1329"/>
      <c r="P48" s="1329"/>
      <c r="Q48" s="1247"/>
      <c r="R48" s="1248"/>
      <c r="S48" s="1255">
        <v>1</v>
      </c>
      <c r="T48" s="1255"/>
      <c r="U48" s="1278" t="s">
        <v>118</v>
      </c>
      <c r="V48" s="1256" t="s">
        <v>103</v>
      </c>
      <c r="W48" s="1246" t="str">
        <f>OFFSET(W48,0,-1)</f>
        <v>2</v>
      </c>
      <c r="X48" s="1336">
        <f>OFFSET(X48,0,-1)+1</f>
        <v>3</v>
      </c>
      <c r="Y48" s="1342"/>
      <c r="Z48" s="1342"/>
      <c r="AA48" s="1342">
        <f>OFFSET(AA48,0,-1)+1</f>
        <v>1</v>
      </c>
      <c r="AB48" s="1342">
        <f>OFFSET(AB48,0,-1)+1</f>
        <v>2</v>
      </c>
      <c r="AC48" s="1336">
        <f>OFFSET(AC48,0,-1)+1</f>
        <v>3</v>
      </c>
      <c r="AD48" s="2273">
        <f>OFFSET(AD48,0,-1)+1</f>
        <v>4</v>
      </c>
      <c r="AE48" s="2273"/>
      <c r="AF48" s="1336">
        <f>OFFSET(AF48,0,-2)+1</f>
        <v>5</v>
      </c>
      <c r="AG48" s="1336">
        <f>OFFSET(AG48,0,-1)+1</f>
        <v>6</v>
      </c>
      <c r="AH48" s="1336"/>
      <c r="AI48" s="1336"/>
      <c r="AJ48" s="1336">
        <f>OFFSET(AJ48,0,-1)+1</f>
        <v>1</v>
      </c>
      <c r="AK48" s="1336">
        <f>OFFSET(AK48,0,-1)+1</f>
        <v>2</v>
      </c>
      <c r="AL48" s="1336">
        <f>OFFSET(AL48,0,-1)+1</f>
        <v>3</v>
      </c>
      <c r="AM48" s="2273">
        <f>OFFSET(AM48,0,-1)+1</f>
        <v>4</v>
      </c>
      <c r="AN48" s="2273"/>
      <c r="AO48" s="1336">
        <f>OFFSET(AO48,0,-2)+1</f>
        <v>5</v>
      </c>
      <c r="AP48" s="1246">
        <f>OFFSET(AP48,0,-1)</f>
        <v>5</v>
      </c>
      <c r="AQ48" s="1336">
        <f>OFFSET(AQ48,0,-1)+1</f>
        <v>6</v>
      </c>
      <c r="AR48" s="512"/>
      <c r="AS48" s="512"/>
      <c r="AT48" s="512"/>
      <c r="AU48" s="512"/>
      <c r="AV48" s="512"/>
      <c r="AW48" s="497">
        <v>0</v>
      </c>
    </row>
    <row customHeight="1" ht="22.049999999999997">
      <c r="A49" s="1268" t="s">
        <v>193</v>
      </c>
      <c r="B49" s="1268"/>
      <c r="C49" s="1268"/>
      <c r="D49" s="1268"/>
      <c r="E49" s="2290">
        <v>1</v>
      </c>
      <c r="F49" s="1268"/>
      <c r="G49" s="1268"/>
      <c r="H49" s="1268"/>
      <c r="I49" s="1268"/>
      <c r="J49" s="1268"/>
      <c r="K49" s="1268"/>
      <c r="L49" s="1268"/>
      <c r="M49" s="1311"/>
      <c r="N49" s="689"/>
      <c r="O49" s="689"/>
      <c r="P49" s="689"/>
      <c r="Q49" s="362"/>
      <c r="R49" s="361"/>
      <c r="S49" s="361"/>
      <c r="T49" s="356"/>
      <c r="U49" s="1337">
        <f>INDEX(PT_DIFFERENTIATION_NUM_NTAR,MATCH(A49,PT_DIFFERENTIATION_NTAR_ID,0))</f>
        <v>0</v>
      </c>
      <c r="V49" s="299" t="s">
        <v>131</v>
      </c>
      <c r="W49" s="301"/>
      <c r="X49" s="2243"/>
      <c r="Y49" s="2244"/>
      <c r="Z49" s="2244"/>
      <c r="AA49" s="2244"/>
      <c r="AB49" s="2244"/>
      <c r="AC49" s="2244"/>
      <c r="AD49" s="2244"/>
      <c r="AE49" s="2244"/>
      <c r="AF49" s="2245"/>
      <c r="AG49" s="2243" t="str">
        <f>INDEX(PT_DIFFERENTIATION_NTAR,MATCH(A49,PT_DIFFERENTIATION_NTAR_ID,0))</f>
        <v/>
      </c>
      <c r="AH49" s="2244"/>
      <c r="AI49" s="2244"/>
      <c r="AJ49" s="2244"/>
      <c r="AK49" s="2244"/>
      <c r="AL49" s="2244"/>
      <c r="AM49" s="2244"/>
      <c r="AN49" s="2244"/>
      <c r="AO49" s="2244"/>
      <c r="AP49" s="2245"/>
      <c r="AQ49" s="1259" t="str">
        <f>IF(TEMPLATE_GROUP="P","По данной форме раскрывается в том числе информация о тарифах на товары (услуги) в сфере теплоснабжения в случаях, указанных в частях 12 1 - 12 4 статьи 10 Федерального закона от 27 июля 2010 г. N 190-ФЗ ""О теплоснабжении"", "&amp;"теплоснабжающей организации, теплосетевой организации в ценовых зонах теплоснабжения. "&amp;"При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реквизиты"&amp;" (дата и номер) решения об установлении цены (тарифа), источник официального опубликования решения об установлении цены (тарифа) в сфере теплоснабжения.","В соответствии с данной формой раскрывается в том числе информация о тарифах на горячую воду, поставляемую единой теплоснабжающей организацией потребителям с использованием открытых систем теплоснабжения"&amp;" (горячего водоснабжения), установленных в виде формулы двухкомпонентного тарифа "&amp;"с использованием компонента на теплоноситель и компонента на тепловую энергию, в том числе о числовых значениях компонентов указанного тарифа. "&amp;"В соответствии с данной формой раскрывается в том числе информация о тарифах на товары (услуги) в сфере теплоснабжения в случаях, указанных частях 12 1 - 12 4 статьи 10 "&amp;"Федерального закона от 27 июля 2010 г. N 190-ФЗ ""О теплоснабжении"", теплоснабжающей организации, теплосетевой организации в ценовых зонах теплоснабжения.
"&amp;"Указывается наименование тарифа в случае расчета нескольких тарифов.
"&amp;"В случае наличия нескольких тарифов информация по ним указывается в отдельных строках.")</f>
        <v>В соответствии с данной формой раскрывается в том числе информация о тарифах на горячую воду, поставляемую единой теплоснабжающей организацией потребителям с использованием открытых систем теплоснабжения (горячего водоснабжения), установленных в виде формулы двухкомпонентного тарифа с использованием компонента на теплоноситель и компонента на тепловую энергию, в том числе о числовых значениях компонентов указанного тарифа. В соответствии с данной формой раскрывается в том числе информация о тарифах на товары (услуги) в сфере теплоснабжения в случаях, указанных частях 12 1 - 12 4 статьи 10 Федерального закона от 27 июля 2010 г. N 190-ФЗ "О теплоснабжении", теплоснабжающей организации, теплосетевой организации в ценовых зонах теплоснабжения.
Указывается наименование тарифа в случае расчета нескольких тарифов.
В случае наличия нескольких тарифов информация по ним указывается в отдельных строках.</v>
      </c>
      <c r="AS49" s="501"/>
      <c r="AT49" s="501" t="str">
        <f>IF(V49="","",V49)</f>
        <v>Наименование тарифа</v>
      </c>
      <c r="AU49" s="501"/>
      <c r="AV49" s="501"/>
      <c r="AW49" s="1156">
        <v>21</v>
      </c>
    </row>
    <row customHeight="1" ht="22.049999999999997">
      <c r="A50" s="1268" t="s">
        <v>193</v>
      </c>
      <c r="B50" s="1268" t="s">
        <v>194</v>
      </c>
      <c r="C50" s="1268"/>
      <c r="D50" s="1268"/>
      <c r="E50" s="2291"/>
      <c r="F50" s="2290">
        <v>1</v>
      </c>
      <c r="G50" s="1268"/>
      <c r="H50" s="1268"/>
      <c r="I50" s="1268"/>
      <c r="J50" s="1268"/>
      <c r="K50" s="1268"/>
      <c r="L50" s="1268"/>
      <c r="M50" s="1311"/>
      <c r="N50" s="689"/>
      <c r="O50" s="689"/>
      <c r="P50" s="689"/>
      <c r="Q50" s="1333"/>
      <c r="R50" s="353"/>
      <c r="S50" s="510"/>
      <c r="T50" s="354"/>
      <c r="U50" s="1337" t="str">
        <f>INDEX(PT_DIFFERENTIATION_NUM_TER,MATCH(B50,PT_DIFFERENTIATION_TER_ID,0))</f>
        <v>.</v>
      </c>
      <c r="V50" s="309" t="s">
        <v>414</v>
      </c>
      <c r="W50" s="301"/>
      <c r="X50" s="2243"/>
      <c r="Y50" s="2244"/>
      <c r="Z50" s="2244"/>
      <c r="AA50" s="2244"/>
      <c r="AB50" s="2244"/>
      <c r="AC50" s="2244"/>
      <c r="AD50" s="2244"/>
      <c r="AE50" s="2244"/>
      <c r="AF50" s="2245"/>
      <c r="AG50" s="2243" t="str">
        <f>INDEX(PT_DIFFERENTIATION_TER,MATCH(B50,PT_DIFFERENTIATION_TER_ID,0))</f>
        <v/>
      </c>
      <c r="AH50" s="2244"/>
      <c r="AI50" s="2244"/>
      <c r="AJ50" s="2244"/>
      <c r="AK50" s="2244"/>
      <c r="AL50" s="2244"/>
      <c r="AM50" s="2244"/>
      <c r="AN50" s="2244"/>
      <c r="AO50" s="2244"/>
      <c r="AP50" s="2245"/>
      <c r="AQ50" s="1259" t="s">
        <v>415</v>
      </c>
      <c r="AS50" s="501"/>
      <c r="AT50" s="501" t="str">
        <f>IF(V50="","",V50)</f>
        <v>Территория действия тарифа</v>
      </c>
      <c r="AU50" s="501"/>
      <c r="AV50" s="501"/>
      <c r="AW50" s="1156">
        <v>21</v>
      </c>
    </row>
    <row customHeight="1" ht="24">
      <c r="A51" s="1268" t="s">
        <v>193</v>
      </c>
      <c r="B51" s="1268" t="s">
        <v>194</v>
      </c>
      <c r="C51" s="1268" t="s">
        <v>195</v>
      </c>
      <c r="D51" s="1268"/>
      <c r="E51" s="2291"/>
      <c r="F51" s="2291"/>
      <c r="G51" s="2290">
        <v>1</v>
      </c>
      <c r="H51" s="1268"/>
      <c r="I51" s="1268"/>
      <c r="J51" s="1268"/>
      <c r="K51" s="1268"/>
      <c r="L51" s="1268"/>
      <c r="M51" s="1311"/>
      <c r="N51" s="689"/>
      <c r="O51" s="689"/>
      <c r="P51" s="689"/>
      <c r="Q51" s="355"/>
      <c r="R51" s="353"/>
      <c r="S51" s="510"/>
      <c r="T51" s="354"/>
      <c r="U51" s="1337" t="str">
        <f>INDEX(PT_DIFFERENTIATION_NUM_CS,MATCH(C51,PT_DIFFERENTIATION_CS_ID,0))</f>
        <v>..</v>
      </c>
      <c r="V51" s="310" t="s">
        <v>416</v>
      </c>
      <c r="W51" s="301"/>
      <c r="X51" s="2243"/>
      <c r="Y51" s="2244"/>
      <c r="Z51" s="2244"/>
      <c r="AA51" s="2244"/>
      <c r="AB51" s="2244"/>
      <c r="AC51" s="2244"/>
      <c r="AD51" s="2244"/>
      <c r="AE51" s="2244"/>
      <c r="AF51" s="2245"/>
      <c r="AG51" s="2243" t="str">
        <f>INDEX(PT_DIFFERENTIATION_CS,MATCH(C51,PT_DIFFERENTIATION_CS_ID,0))</f>
        <v/>
      </c>
      <c r="AH51" s="2244"/>
      <c r="AI51" s="2244"/>
      <c r="AJ51" s="2244"/>
      <c r="AK51" s="2244"/>
      <c r="AL51" s="2244"/>
      <c r="AM51" s="2244"/>
      <c r="AN51" s="2244"/>
      <c r="AO51" s="2244"/>
      <c r="AP51" s="2245"/>
      <c r="AQ51" s="1259" t="s">
        <v>417</v>
      </c>
      <c r="AS51" s="501"/>
      <c r="AT51" s="501" t="str">
        <f>IF(V51="","",V51)</f>
        <v>Наименование системы теплоснабжения </v>
      </c>
      <c r="AU51" s="501"/>
      <c r="AV51" s="501"/>
      <c r="AW51" s="1156">
        <v>23</v>
      </c>
    </row>
    <row customHeight="1" ht="22.049999999999997">
      <c r="A52" s="1268" t="s">
        <v>193</v>
      </c>
      <c r="B52" s="1268" t="s">
        <v>194</v>
      </c>
      <c r="C52" s="1268" t="s">
        <v>195</v>
      </c>
      <c r="D52" s="1268" t="s">
        <v>196</v>
      </c>
      <c r="E52" s="2291"/>
      <c r="F52" s="2291"/>
      <c r="G52" s="2291"/>
      <c r="H52" s="2311">
        <v>1</v>
      </c>
      <c r="I52" s="1268"/>
      <c r="J52" s="1268"/>
      <c r="K52" s="1268"/>
      <c r="L52" s="1268"/>
      <c r="M52" s="1311"/>
      <c r="N52" s="689"/>
      <c r="O52" s="689"/>
      <c r="P52" s="689"/>
      <c r="Q52" s="355"/>
      <c r="R52" s="353"/>
      <c r="S52" s="510"/>
      <c r="T52" s="354"/>
      <c r="U52" s="1337" t="str">
        <f>INDEX(PT_DIFFERENTIATION_NUM_IST_TE,MATCH(D52,PT_DIFFERENTIATION_IST_TE_ID,0))</f>
        <v>...</v>
      </c>
      <c r="V52" s="311" t="s">
        <v>418</v>
      </c>
      <c r="W52" s="301"/>
      <c r="X52" s="2243"/>
      <c r="Y52" s="2244"/>
      <c r="Z52" s="2244"/>
      <c r="AA52" s="2244"/>
      <c r="AB52" s="2244"/>
      <c r="AC52" s="2244"/>
      <c r="AD52" s="2244"/>
      <c r="AE52" s="2244"/>
      <c r="AF52" s="2245"/>
      <c r="AG52" s="2243" t="str">
        <f>INDEX(PT_DIFFERENTIATION_IST_TE,MATCH(D52,PT_DIFFERENTIATION_IST_TE_ID,0))</f>
        <v/>
      </c>
      <c r="AH52" s="2244"/>
      <c r="AI52" s="2244"/>
      <c r="AJ52" s="2244"/>
      <c r="AK52" s="2244"/>
      <c r="AL52" s="2244"/>
      <c r="AM52" s="2244"/>
      <c r="AN52" s="2244"/>
      <c r="AO52" s="2244"/>
      <c r="AP52" s="2245"/>
      <c r="AQ52" s="1259" t="s">
        <v>419</v>
      </c>
      <c r="AS52" s="501"/>
      <c r="AT52" s="501" t="str">
        <f>IF(V52="","",V52)</f>
        <v>Источник тепловой энергии  </v>
      </c>
      <c r="AU52" s="501"/>
      <c r="AV52" s="501"/>
      <c r="AW52" s="1156">
        <v>21</v>
      </c>
    </row>
    <row s="1643" customFormat="1" customHeight="1" ht="0">
      <c r="A53" s="1376" t="s">
        <v>193</v>
      </c>
      <c r="B53" s="1376" t="s">
        <v>194</v>
      </c>
      <c r="C53" s="1376" t="s">
        <v>195</v>
      </c>
      <c r="D53" s="1376" t="s">
        <v>196</v>
      </c>
      <c r="E53" s="2291"/>
      <c r="F53" s="2291"/>
      <c r="G53" s="2291"/>
      <c r="H53" s="2312"/>
      <c r="I53" s="2128" t="str">
        <f>U52&amp;".1"</f>
        <v>....1</v>
      </c>
      <c r="J53" s="1376"/>
      <c r="K53" s="1376"/>
      <c r="L53" s="1376"/>
      <c r="M53" s="1382" t="s">
        <v>420</v>
      </c>
      <c r="N53" s="1247"/>
      <c r="O53" s="1247"/>
      <c r="P53" s="1247"/>
      <c r="Q53" s="2258">
        <v>1</v>
      </c>
      <c r="R53" s="1332"/>
      <c r="S53" s="1332"/>
      <c r="T53" s="357"/>
      <c r="U53" s="1043"/>
      <c r="V53" s="1384"/>
      <c r="W53" s="1385"/>
      <c r="X53" s="2297"/>
      <c r="Y53" s="2298"/>
      <c r="Z53" s="2298"/>
      <c r="AA53" s="2298"/>
      <c r="AB53" s="2298"/>
      <c r="AC53" s="2298"/>
      <c r="AD53" s="2298"/>
      <c r="AE53" s="2298"/>
      <c r="AF53" s="2299"/>
      <c r="AG53" s="2297"/>
      <c r="AH53" s="2298"/>
      <c r="AI53" s="2298"/>
      <c r="AJ53" s="2298"/>
      <c r="AK53" s="2298"/>
      <c r="AL53" s="2298"/>
      <c r="AM53" s="2298"/>
      <c r="AN53" s="2298"/>
      <c r="AO53" s="2298"/>
      <c r="AP53" s="2299"/>
      <c r="AQ53" s="1386"/>
      <c r="AS53" s="501"/>
      <c r="AT53" s="501" t="str">
        <f>IF(V53="","",V53)</f>
        <v/>
      </c>
      <c r="AU53" s="501"/>
      <c r="AV53" s="501"/>
      <c r="AW53" s="512">
        <v>0</v>
      </c>
    </row>
    <row customHeight="1" ht="22.049999999999997">
      <c r="A54" s="1268" t="s">
        <v>193</v>
      </c>
      <c r="B54" s="1268" t="s">
        <v>194</v>
      </c>
      <c r="C54" s="1268" t="s">
        <v>195</v>
      </c>
      <c r="D54" s="1268" t="s">
        <v>196</v>
      </c>
      <c r="E54" s="2291"/>
      <c r="F54" s="2291"/>
      <c r="G54" s="2291"/>
      <c r="H54" s="2312"/>
      <c r="I54" s="2102"/>
      <c r="J54" s="2128" t="str">
        <f>I53&amp;".1"</f>
        <v>....1.1</v>
      </c>
      <c r="K54" s="1268"/>
      <c r="L54" s="1268"/>
      <c r="M54" s="1311" t="s">
        <v>423</v>
      </c>
      <c r="Q54" s="2258"/>
      <c r="R54" s="2258">
        <v>1</v>
      </c>
      <c r="S54" s="519"/>
      <c r="T54" s="358"/>
      <c r="U54" s="1337" t="str">
        <f>$J54</f>
        <v>....1.1</v>
      </c>
      <c r="V54" s="287" t="s">
        <v>424</v>
      </c>
      <c r="W54" s="301"/>
      <c r="X54" s="2246"/>
      <c r="Y54" s="2247"/>
      <c r="Z54" s="2247"/>
      <c r="AA54" s="2247"/>
      <c r="AB54" s="2247"/>
      <c r="AC54" s="2236"/>
      <c r="AD54" s="2236"/>
      <c r="AE54" s="2236"/>
      <c r="AF54" s="2309"/>
      <c r="AG54" s="2246"/>
      <c r="AH54" s="2247"/>
      <c r="AI54" s="2247"/>
      <c r="AJ54" s="2247"/>
      <c r="AK54" s="2247"/>
      <c r="AL54" s="2247"/>
      <c r="AM54" s="2247"/>
      <c r="AN54" s="2247"/>
      <c r="AO54" s="2247"/>
      <c r="AP54" s="2248"/>
      <c r="AQ54" s="1259" t="s">
        <v>425</v>
      </c>
      <c r="AS54" s="501"/>
      <c r="AT54" s="501" t="str">
        <f>IF(V54="","",V54)</f>
        <v>Группа потребителей</v>
      </c>
      <c r="AU54" s="501"/>
      <c r="AV54" s="501"/>
      <c r="AW54" s="1156">
        <v>21</v>
      </c>
    </row>
    <row customHeight="1" ht="22.049999999999997">
      <c r="A55" s="1268" t="s">
        <v>193</v>
      </c>
      <c r="B55" s="1268" t="s">
        <v>194</v>
      </c>
      <c r="C55" s="1268" t="s">
        <v>195</v>
      </c>
      <c r="D55" s="1268" t="s">
        <v>196</v>
      </c>
      <c r="E55" s="2291"/>
      <c r="F55" s="2291"/>
      <c r="G55" s="2291"/>
      <c r="H55" s="2312"/>
      <c r="I55" s="2102"/>
      <c r="J55" s="2102"/>
      <c r="K55" s="2128" t="str">
        <f>J54&amp;".1"</f>
        <v>....1.1.1</v>
      </c>
      <c r="L55" s="140"/>
      <c r="M55" s="1311" t="s">
        <v>426</v>
      </c>
      <c r="Q55" s="2258"/>
      <c r="R55" s="2258"/>
      <c r="S55" s="519">
        <v>1</v>
      </c>
      <c r="T55" s="358"/>
      <c r="U55" s="1337" t="str">
        <f>$K55</f>
        <v>....1.1.1</v>
      </c>
      <c r="V55" s="1348"/>
      <c r="W55" s="301"/>
      <c r="X55" s="752"/>
      <c r="Y55" s="752"/>
      <c r="Z55" s="752"/>
      <c r="AA55" s="752"/>
      <c r="AB55" s="1406"/>
      <c r="AC55" s="2266"/>
      <c r="AD55" s="2108" t="s">
        <v>61</v>
      </c>
      <c r="AE55" s="2266"/>
      <c r="AF55" s="2108" t="s">
        <v>61</v>
      </c>
      <c r="AG55" s="1408"/>
      <c r="AH55" s="752"/>
      <c r="AI55" s="752"/>
      <c r="AJ55" s="752"/>
      <c r="AK55" s="1258"/>
      <c r="AL55" s="2266"/>
      <c r="AM55" s="2108" t="s">
        <v>61</v>
      </c>
      <c r="AN55" s="2266"/>
      <c r="AO55" s="2108" t="s">
        <v>61</v>
      </c>
      <c r="AP55" s="1349"/>
      <c r="AQ55" s="1308" t="s">
        <v>471</v>
      </c>
      <c r="AR55" s="512">
        <f>STRCHECKDATE(X57:AP57)</f>
      </c>
      <c r="AS55" s="501"/>
      <c r="AT55" s="501" t="str">
        <f>IF(V55="","",V55)</f>
        <v/>
      </c>
      <c r="AU55" s="501"/>
      <c r="AV55" s="501"/>
      <c r="AW55" s="1156">
        <v>21</v>
      </c>
    </row>
    <row customHeight="1" ht="11.549999999999999">
      <c r="A56" s="1268" t="s">
        <v>193</v>
      </c>
      <c r="B56" s="1268" t="s">
        <v>194</v>
      </c>
      <c r="C56" s="1268" t="s">
        <v>195</v>
      </c>
      <c r="D56" s="1268" t="s">
        <v>196</v>
      </c>
      <c r="E56" s="2291"/>
      <c r="F56" s="2291"/>
      <c r="G56" s="2291"/>
      <c r="H56" s="2312"/>
      <c r="I56" s="2102"/>
      <c r="J56" s="2102"/>
      <c r="K56" s="2102"/>
      <c r="L56" s="2128" t="str">
        <f>K55&amp;".1"</f>
        <v>....1.1.1.1</v>
      </c>
      <c r="M56" s="1311"/>
      <c r="Q56" s="2258"/>
      <c r="R56" s="2258"/>
      <c r="S56" s="519">
        <v>1</v>
      </c>
      <c r="T56" s="358"/>
      <c r="U56" s="1337" t="str">
        <f>$L56</f>
        <v>....1.1.1.1</v>
      </c>
      <c r="V56" s="1392"/>
      <c r="W56" s="301"/>
      <c r="X56" s="326"/>
      <c r="Y56" s="752"/>
      <c r="Z56" s="752"/>
      <c r="AA56" s="752"/>
      <c r="AB56" s="1406"/>
      <c r="AC56" s="2310"/>
      <c r="AD56" s="2108"/>
      <c r="AE56" s="2310"/>
      <c r="AF56" s="2108"/>
      <c r="AG56" s="1408"/>
      <c r="AH56" s="752"/>
      <c r="AI56" s="752"/>
      <c r="AJ56" s="752"/>
      <c r="AK56" s="1258"/>
      <c r="AL56" s="2310"/>
      <c r="AM56" s="2108"/>
      <c r="AN56" s="2310"/>
      <c r="AO56" s="2108"/>
      <c r="AP56" s="1349"/>
      <c r="AQ56" s="2254" t="s">
        <v>472</v>
      </c>
      <c r="AR56" s="512">
        <f>STRCHECKDATE(X58:AP58)</f>
      </c>
      <c r="AS56" s="501"/>
      <c r="AT56" s="501" t="str">
        <f>IF(V56="","",V56)</f>
        <v/>
      </c>
      <c r="AU56" s="501"/>
      <c r="AV56" s="501"/>
      <c r="AW56" s="1156">
        <v>11</v>
      </c>
    </row>
    <row customHeight="1" ht="0">
      <c r="A57" s="1268" t="s">
        <v>193</v>
      </c>
      <c r="B57" s="1268" t="s">
        <v>194</v>
      </c>
      <c r="C57" s="1268" t="s">
        <v>195</v>
      </c>
      <c r="D57" s="1268" t="s">
        <v>196</v>
      </c>
      <c r="E57" s="2291"/>
      <c r="F57" s="2291"/>
      <c r="G57" s="2291"/>
      <c r="H57" s="2312"/>
      <c r="I57" s="2102"/>
      <c r="J57" s="2102"/>
      <c r="K57" s="2102"/>
      <c r="L57" s="2128"/>
      <c r="M57" s="1311"/>
      <c r="Q57" s="2258"/>
      <c r="R57" s="2258"/>
      <c r="S57" s="519"/>
      <c r="T57" s="358"/>
      <c r="U57" s="1343"/>
      <c r="V57" s="301"/>
      <c r="W57" s="301"/>
      <c r="X57" s="326"/>
      <c r="Y57" s="326"/>
      <c r="Z57" s="326"/>
      <c r="AA57" s="326"/>
      <c r="AB57" s="1407" t="str">
        <f>AC55&amp;"-"&amp;AE55</f>
        <v>-</v>
      </c>
      <c r="AC57" s="2310"/>
      <c r="AD57" s="2108"/>
      <c r="AE57" s="2310"/>
      <c r="AF57" s="2108"/>
      <c r="AG57" s="1383"/>
      <c r="AH57" s="326"/>
      <c r="AI57" s="326"/>
      <c r="AJ57" s="326"/>
      <c r="AK57" s="329" t="str">
        <f>AL55&amp;"-"&amp;AN55</f>
        <v>-</v>
      </c>
      <c r="AL57" s="2310"/>
      <c r="AM57" s="2108"/>
      <c r="AN57" s="2310"/>
      <c r="AO57" s="2108"/>
      <c r="AP57" s="1350"/>
      <c r="AQ57" s="2255"/>
      <c r="AS57" s="501"/>
      <c r="AT57" s="501" t="str">
        <f>IF(V57="","",V57)</f>
        <v/>
      </c>
      <c r="AU57" s="501"/>
      <c r="AV57" s="501"/>
      <c r="AW57" s="1156">
        <v>0</v>
      </c>
    </row>
    <row customHeight="1" ht="11.549999999999999">
      <c r="A58" s="1268" t="s">
        <v>193</v>
      </c>
      <c r="B58" s="1268" t="s">
        <v>194</v>
      </c>
      <c r="C58" s="1268" t="s">
        <v>195</v>
      </c>
      <c r="D58" s="1268" t="s">
        <v>196</v>
      </c>
      <c r="E58" s="2291"/>
      <c r="F58" s="2291"/>
      <c r="G58" s="2291"/>
      <c r="H58" s="2312"/>
      <c r="I58" s="2102"/>
      <c r="J58" s="2102"/>
      <c r="K58" s="2128"/>
      <c r="L58" s="1268"/>
      <c r="M58" s="1311"/>
      <c r="Q58" s="2258"/>
      <c r="R58" s="2258"/>
      <c r="S58" s="1332"/>
      <c r="T58" s="357"/>
      <c r="U58" s="1279"/>
      <c r="V58" s="289" t="s">
        <v>473</v>
      </c>
      <c r="W58" s="368"/>
      <c r="X58" s="368"/>
      <c r="Y58" s="368"/>
      <c r="Z58" s="368"/>
      <c r="AA58" s="368"/>
      <c r="AB58" s="368"/>
      <c r="AC58" s="2310"/>
      <c r="AD58" s="2108"/>
      <c r="AE58" s="2310"/>
      <c r="AF58" s="2108"/>
      <c r="AG58" s="368"/>
      <c r="AH58" s="368"/>
      <c r="AI58" s="368"/>
      <c r="AJ58" s="368"/>
      <c r="AK58" s="368"/>
      <c r="AL58" s="2310"/>
      <c r="AM58" s="2108"/>
      <c r="AN58" s="2310"/>
      <c r="AO58" s="2108"/>
      <c r="AP58" s="325"/>
      <c r="AQ58" s="2255"/>
      <c r="AS58" s="501"/>
      <c r="AT58" s="501" t="str">
        <f>IF(V58="","",V58)</f>
        <v>Добавить наименование поставщика</v>
      </c>
      <c r="AU58" s="501"/>
      <c r="AV58" s="501"/>
      <c r="AW58" s="1156">
        <v>11</v>
      </c>
    </row>
    <row customHeight="1" ht="11.549999999999999">
      <c r="A59" s="1268" t="s">
        <v>193</v>
      </c>
      <c r="B59" s="1268" t="s">
        <v>194</v>
      </c>
      <c r="C59" s="1268" t="s">
        <v>195</v>
      </c>
      <c r="D59" s="1268" t="s">
        <v>196</v>
      </c>
      <c r="E59" s="2291"/>
      <c r="F59" s="2291"/>
      <c r="G59" s="2291"/>
      <c r="H59" s="2312"/>
      <c r="I59" s="2102"/>
      <c r="J59" s="2128"/>
      <c r="K59" s="1268"/>
      <c r="L59" s="1268"/>
      <c r="M59" s="1311"/>
      <c r="Q59" s="2258"/>
      <c r="R59" s="2258"/>
      <c r="S59" s="1332"/>
      <c r="T59" s="357"/>
      <c r="U59" s="1279"/>
      <c r="V59" s="288" t="s">
        <v>428</v>
      </c>
      <c r="W59" s="368"/>
      <c r="X59" s="368"/>
      <c r="Y59" s="368"/>
      <c r="Z59" s="368"/>
      <c r="AA59" s="368"/>
      <c r="AB59" s="368"/>
      <c r="AC59" s="1409"/>
      <c r="AD59" s="1409"/>
      <c r="AE59" s="1409"/>
      <c r="AF59" s="1409"/>
      <c r="AG59" s="368"/>
      <c r="AH59" s="368"/>
      <c r="AI59" s="368"/>
      <c r="AJ59" s="368"/>
      <c r="AK59" s="368"/>
      <c r="AL59" s="368"/>
      <c r="AM59" s="368"/>
      <c r="AN59" s="368"/>
      <c r="AO59" s="368"/>
      <c r="AP59" s="325"/>
      <c r="AQ59" s="2256"/>
      <c r="AS59" s="501"/>
      <c r="AT59" s="501" t="str">
        <f>IF(V59="","",V59)</f>
        <v>Добавить вид теплоносителя (параметры теплоносителя)</v>
      </c>
      <c r="AU59" s="501"/>
      <c r="AV59" s="501"/>
      <c r="AW59" s="1156">
        <v>11</v>
      </c>
    </row>
    <row customHeight="1" ht="11.549999999999999">
      <c r="A60" s="1268" t="s">
        <v>193</v>
      </c>
      <c r="B60" s="1268" t="s">
        <v>194</v>
      </c>
      <c r="C60" s="1268" t="s">
        <v>195</v>
      </c>
      <c r="D60" s="1268" t="s">
        <v>196</v>
      </c>
      <c r="E60" s="2291"/>
      <c r="F60" s="2291"/>
      <c r="G60" s="2291"/>
      <c r="H60" s="2312"/>
      <c r="I60" s="2128"/>
      <c r="J60" s="1268"/>
      <c r="K60" s="1268"/>
      <c r="L60" s="1268"/>
      <c r="M60" s="1311"/>
      <c r="Q60" s="2258"/>
      <c r="R60" s="1332"/>
      <c r="S60" s="1332"/>
      <c r="T60" s="357"/>
      <c r="U60" s="1279"/>
      <c r="V60" s="366" t="s">
        <v>429</v>
      </c>
      <c r="W60" s="368"/>
      <c r="X60" s="368"/>
      <c r="Y60" s="368"/>
      <c r="Z60" s="368"/>
      <c r="AA60" s="368"/>
      <c r="AB60" s="368"/>
      <c r="AC60" s="368"/>
      <c r="AD60" s="368"/>
      <c r="AE60" s="368"/>
      <c r="AF60" s="367"/>
      <c r="AG60" s="368"/>
      <c r="AH60" s="368"/>
      <c r="AI60" s="368"/>
      <c r="AJ60" s="368"/>
      <c r="AK60" s="368"/>
      <c r="AL60" s="368"/>
      <c r="AM60" s="368"/>
      <c r="AN60" s="368"/>
      <c r="AO60" s="367"/>
      <c r="AP60" s="368"/>
      <c r="AQ60" s="304"/>
      <c r="AS60" s="501"/>
      <c r="AT60" s="501" t="str">
        <f>IF(V60="","",V60)</f>
        <v>Добавить группу потребителей</v>
      </c>
      <c r="AU60" s="501"/>
      <c r="AV60" s="501"/>
      <c r="AW60" s="1156">
        <v>11</v>
      </c>
    </row>
    <row customHeight="1" ht="0">
      <c r="A61" s="1268" t="s">
        <v>193</v>
      </c>
      <c r="B61" s="1268" t="s">
        <v>194</v>
      </c>
      <c r="C61" s="1268" t="s">
        <v>195</v>
      </c>
      <c r="D61" s="1268" t="s">
        <v>196</v>
      </c>
      <c r="E61" s="2291"/>
      <c r="F61" s="2291"/>
      <c r="G61" s="2291"/>
      <c r="H61" s="2311"/>
      <c r="I61" s="1268"/>
      <c r="J61" s="1268"/>
      <c r="K61" s="1268"/>
      <c r="L61" s="1268"/>
      <c r="M61" s="1311"/>
      <c r="N61" s="689"/>
      <c r="O61" s="689"/>
      <c r="P61" s="510"/>
      <c r="Q61" s="361"/>
      <c r="R61" s="376"/>
      <c r="S61" s="356"/>
      <c r="T61" s="361"/>
      <c r="U61" s="1387"/>
      <c r="V61" s="1388"/>
      <c r="W61" s="1389"/>
      <c r="X61" s="1389"/>
      <c r="Y61" s="1389"/>
      <c r="Z61" s="1389"/>
      <c r="AA61" s="1389"/>
      <c r="AB61" s="1389"/>
      <c r="AC61" s="1389"/>
      <c r="AD61" s="1389"/>
      <c r="AE61" s="1389"/>
      <c r="AF61" s="1389"/>
      <c r="AG61" s="1389"/>
      <c r="AH61" s="1389"/>
      <c r="AI61" s="1389"/>
      <c r="AJ61" s="1389"/>
      <c r="AK61" s="1389"/>
      <c r="AL61" s="1389"/>
      <c r="AM61" s="1389"/>
      <c r="AN61" s="1389"/>
      <c r="AO61" s="1389"/>
      <c r="AP61" s="1389"/>
      <c r="AQ61" s="1390"/>
      <c r="AS61" s="501"/>
      <c r="AT61" s="501" t="str">
        <f>IF(V61="","",V61)</f>
        <v/>
      </c>
      <c r="AU61" s="501"/>
      <c r="AV61" s="501"/>
      <c r="AW61" s="1156">
        <v>0</v>
      </c>
    </row>
    <row s="1643" customFormat="1" customHeight="1" ht="0">
      <c r="A62" s="1376" t="s">
        <v>193</v>
      </c>
      <c r="B62" s="1376" t="s">
        <v>194</v>
      </c>
      <c r="C62" s="1376" t="s">
        <v>195</v>
      </c>
      <c r="D62" s="1375"/>
      <c r="E62" s="2291"/>
      <c r="F62" s="2291"/>
      <c r="G62" s="2290"/>
      <c r="H62" s="1375"/>
      <c r="I62" s="1375"/>
      <c r="J62" s="1375"/>
      <c r="K62" s="1375"/>
      <c r="L62" s="1375"/>
      <c r="M62" s="1378"/>
      <c r="N62" s="1379"/>
      <c r="O62" s="1379"/>
      <c r="P62" s="352"/>
      <c r="Q62" s="1317"/>
      <c r="R62" s="1318"/>
      <c r="S62" s="1317"/>
      <c r="T62" s="1317"/>
      <c r="U62" s="1323"/>
      <c r="V62" s="1326" t="s">
        <v>176</v>
      </c>
      <c r="W62" s="1325"/>
      <c r="X62" s="1325"/>
      <c r="Y62" s="1325"/>
      <c r="Z62" s="1325"/>
      <c r="AA62" s="1325"/>
      <c r="AB62" s="1325"/>
      <c r="AC62" s="1325"/>
      <c r="AD62" s="1325"/>
      <c r="AE62" s="1325"/>
      <c r="AF62" s="1325"/>
      <c r="AG62" s="1325"/>
      <c r="AH62" s="1325"/>
      <c r="AI62" s="1325"/>
      <c r="AJ62" s="1325"/>
      <c r="AK62" s="1325"/>
      <c r="AL62" s="1325"/>
      <c r="AM62" s="1325"/>
      <c r="AN62" s="1325"/>
      <c r="AO62" s="1325"/>
      <c r="AP62" s="1325"/>
      <c r="AQ62" s="1325"/>
      <c r="AS62" s="790"/>
      <c r="AT62" s="790" t="str">
        <f>IF(V62="","",V62)</f>
        <v>Добавить источник для дифференциации</v>
      </c>
      <c r="AU62" s="790"/>
      <c r="AV62" s="790"/>
      <c r="AW62" s="519">
        <v>0</v>
      </c>
    </row>
    <row s="1643" customFormat="1" customHeight="1" ht="0">
      <c r="A63" s="1376" t="s">
        <v>193</v>
      </c>
      <c r="B63" s="1376" t="s">
        <v>194</v>
      </c>
      <c r="C63" s="1375"/>
      <c r="D63" s="1375"/>
      <c r="E63" s="2291"/>
      <c r="F63" s="2290"/>
      <c r="G63" s="1375"/>
      <c r="H63" s="1375"/>
      <c r="I63" s="1375"/>
      <c r="J63" s="1375"/>
      <c r="K63" s="1375"/>
      <c r="L63" s="1375"/>
      <c r="M63" s="1378"/>
      <c r="N63" s="1380"/>
      <c r="O63" s="1380"/>
      <c r="P63" s="352"/>
      <c r="Q63" s="1317"/>
      <c r="R63" s="1318"/>
      <c r="S63" s="1317"/>
      <c r="T63" s="1317"/>
      <c r="U63" s="1323"/>
      <c r="V63" s="1326" t="s">
        <v>177</v>
      </c>
      <c r="W63" s="1325"/>
      <c r="X63" s="1325"/>
      <c r="Y63" s="1325"/>
      <c r="Z63" s="1325"/>
      <c r="AA63" s="1325"/>
      <c r="AB63" s="1325"/>
      <c r="AC63" s="1325"/>
      <c r="AD63" s="1325"/>
      <c r="AE63" s="1325"/>
      <c r="AF63" s="1325"/>
      <c r="AG63" s="1325"/>
      <c r="AH63" s="1325"/>
      <c r="AI63" s="1325"/>
      <c r="AJ63" s="1325"/>
      <c r="AK63" s="1325"/>
      <c r="AL63" s="1325"/>
      <c r="AM63" s="1325"/>
      <c r="AN63" s="1325"/>
      <c r="AO63" s="1325"/>
      <c r="AP63" s="1325"/>
      <c r="AQ63" s="1325"/>
      <c r="AS63" s="790"/>
      <c r="AT63" s="790" t="str">
        <f>IF(V63="","",V63)</f>
        <v>Добавить централизованную систему для дифференциации</v>
      </c>
      <c r="AU63" s="790"/>
      <c r="AV63" s="790"/>
      <c r="AW63" s="519">
        <v>0</v>
      </c>
    </row>
    <row s="1643" customFormat="1" customHeight="1" ht="0">
      <c r="A64" s="1376" t="s">
        <v>193</v>
      </c>
      <c r="B64" s="1376"/>
      <c r="C64" s="1376"/>
      <c r="D64" s="1376"/>
      <c r="E64" s="2290"/>
      <c r="F64" s="1376"/>
      <c r="G64" s="1376"/>
      <c r="H64" s="1376"/>
      <c r="I64" s="1376"/>
      <c r="J64" s="1376"/>
      <c r="K64" s="1376"/>
      <c r="L64" s="1376"/>
      <c r="M64" s="1382"/>
      <c r="N64" s="1380"/>
      <c r="O64" s="1380"/>
      <c r="P64" s="352"/>
      <c r="Q64" s="381"/>
      <c r="R64" s="1345"/>
      <c r="S64" s="381"/>
      <c r="T64" s="381"/>
      <c r="U64" s="1323"/>
      <c r="V64" s="1326" t="s">
        <v>178</v>
      </c>
      <c r="W64" s="1325"/>
      <c r="X64" s="1325"/>
      <c r="Y64" s="1325"/>
      <c r="Z64" s="1325"/>
      <c r="AA64" s="1325"/>
      <c r="AB64" s="1325"/>
      <c r="AC64" s="1325"/>
      <c r="AD64" s="1325"/>
      <c r="AE64" s="1325"/>
      <c r="AF64" s="1325"/>
      <c r="AG64" s="1325"/>
      <c r="AH64" s="1325"/>
      <c r="AI64" s="1325"/>
      <c r="AJ64" s="1325"/>
      <c r="AK64" s="1325"/>
      <c r="AL64" s="1325"/>
      <c r="AM64" s="1325"/>
      <c r="AN64" s="1325"/>
      <c r="AO64" s="1325"/>
      <c r="AP64" s="1325"/>
      <c r="AQ64" s="1325"/>
      <c r="AS64" s="501"/>
      <c r="AT64" s="501" t="str">
        <f>IF(V64="","",V64)</f>
        <v>Добавить территорию для дифференциации</v>
      </c>
      <c r="AU64" s="501"/>
      <c r="AV64" s="501"/>
      <c r="AW64" s="512">
        <v>0</v>
      </c>
    </row>
    <row s="1643" customFormat="1" customHeight="1" ht="4.2">
      <c r="A65" s="1375"/>
      <c r="B65" s="1375"/>
      <c r="C65" s="1375"/>
      <c r="D65" s="1375"/>
      <c r="E65" s="1376"/>
      <c r="F65" s="1375"/>
      <c r="G65" s="1375"/>
      <c r="H65" s="1375"/>
      <c r="I65" s="1375"/>
      <c r="J65" s="1375"/>
      <c r="K65" s="1375"/>
      <c r="L65" s="1375"/>
      <c r="M65" s="1378"/>
      <c r="N65" s="1380"/>
      <c r="O65" s="1380"/>
      <c r="P65" s="352"/>
      <c r="Q65" s="1317"/>
      <c r="R65" s="1318"/>
      <c r="S65" s="1317"/>
      <c r="T65" s="1317"/>
      <c r="U65" s="1323"/>
      <c r="V65" s="1326" t="s">
        <v>184</v>
      </c>
      <c r="W65" s="1325"/>
      <c r="X65" s="1325"/>
      <c r="Y65" s="1325"/>
      <c r="Z65" s="1325"/>
      <c r="AA65" s="1325"/>
      <c r="AB65" s="1325"/>
      <c r="AC65" s="1325"/>
      <c r="AD65" s="1325"/>
      <c r="AE65" s="1325"/>
      <c r="AF65" s="1325"/>
      <c r="AG65" s="1325"/>
      <c r="AH65" s="1325"/>
      <c r="AI65" s="1325"/>
      <c r="AJ65" s="1325"/>
      <c r="AK65" s="1325"/>
      <c r="AL65" s="1325"/>
      <c r="AM65" s="1325"/>
      <c r="AN65" s="1325"/>
      <c r="AO65" s="1325"/>
      <c r="AP65" s="1325"/>
      <c r="AQ65" s="1325"/>
      <c r="AS65" s="790"/>
      <c r="AT65" s="790" t="str">
        <f>IF(V65="","",V65)</f>
        <v>Добавить наименование тарифа</v>
      </c>
      <c r="AU65" s="790"/>
      <c r="AV65" s="790"/>
      <c r="AW65" s="519">
        <v>4</v>
      </c>
    </row>
    <row customHeight="1" ht="11.549999999999999">
      <c r="N66" s="1156"/>
      <c r="O66" s="1156"/>
      <c r="P66" s="510"/>
      <c r="Q66" s="1156"/>
      <c r="R66" s="1156"/>
      <c r="S66" s="1156"/>
      <c r="T66" s="1156"/>
      <c r="U66" s="1156"/>
      <c r="AR66" s="1156"/>
      <c r="AS66" s="1156"/>
      <c r="AT66" s="1156"/>
      <c r="AU66" s="1156"/>
      <c r="AV66" s="1156"/>
      <c r="AW66" s="1156">
        <v>11</v>
      </c>
    </row>
    <row customHeight="1" ht="35.699999999999996">
      <c r="P67" s="510"/>
      <c r="U67" s="1254"/>
      <c r="V67" s="2286"/>
      <c r="W67" s="2286"/>
      <c r="X67" s="2286"/>
      <c r="Y67" s="2286"/>
      <c r="Z67" s="2286"/>
      <c r="AA67" s="2286"/>
      <c r="AB67" s="2286"/>
      <c r="AC67" s="2286"/>
      <c r="AD67" s="2286"/>
      <c r="AE67" s="2286"/>
      <c r="AF67" s="2286"/>
      <c r="AG67" s="2286"/>
      <c r="AH67" s="2286"/>
      <c r="AI67" s="2286"/>
      <c r="AJ67" s="2286"/>
      <c r="AK67" s="2286"/>
      <c r="AL67" s="2286"/>
      <c r="AM67" s="2286"/>
      <c r="AN67" s="2286"/>
      <c r="AO67" s="2286"/>
      <c r="AP67" s="2286"/>
      <c r="AQ67" s="2286"/>
      <c r="AW67" s="1156">
        <v>34</v>
      </c>
    </row>
    <row customHeight="1" ht="21">
      <c r="P68" s="510"/>
      <c r="V68" s="2286"/>
      <c r="W68" s="2286"/>
      <c r="X68" s="2286"/>
      <c r="Y68" s="2286"/>
      <c r="Z68" s="2286"/>
      <c r="AA68" s="2286"/>
      <c r="AB68" s="2286"/>
      <c r="AC68" s="2286"/>
      <c r="AD68" s="2286"/>
      <c r="AE68" s="2286"/>
      <c r="AF68" s="2286"/>
      <c r="AG68" s="2286"/>
      <c r="AH68" s="2286"/>
      <c r="AI68" s="2286"/>
      <c r="AJ68" s="2286"/>
      <c r="AK68" s="2286"/>
      <c r="AL68" s="2286"/>
      <c r="AM68" s="2286"/>
      <c r="AN68" s="2286"/>
      <c r="AO68" s="2286"/>
      <c r="AP68" s="2286"/>
      <c r="AQ68" s="2286"/>
      <c r="AW68" s="1156">
        <v>20</v>
      </c>
    </row>
    <row customHeight="1" ht="14.699999999999998">
      <c r="P69" s="510"/>
      <c r="AW69" s="1156">
        <v>14</v>
      </c>
    </row>
    <row customHeight="1" ht="28.5">
      <c r="P70" s="510"/>
      <c r="V70" s="2286"/>
      <c r="W70" s="2286"/>
      <c r="X70" s="2286"/>
      <c r="Y70" s="2286"/>
      <c r="Z70" s="2286"/>
      <c r="AA70" s="2286"/>
      <c r="AB70" s="2286"/>
      <c r="AC70" s="2286"/>
      <c r="AD70" s="2286"/>
      <c r="AE70" s="2286"/>
      <c r="AF70" s="2286"/>
      <c r="AG70" s="2286"/>
      <c r="AH70" s="2286"/>
      <c r="AI70" s="2286"/>
      <c r="AJ70" s="2286"/>
      <c r="AK70" s="2286"/>
      <c r="AL70" s="2286"/>
      <c r="AM70" s="2286"/>
      <c r="AN70" s="2286"/>
      <c r="AO70" s="2286"/>
      <c r="AP70" s="2286"/>
      <c r="AQ70" s="2286"/>
      <c r="AW70" s="1156">
        <v>27</v>
      </c>
    </row>
    <row customHeight="1" ht="18.75">
      <c r="P71" s="510"/>
      <c r="V71" s="2286"/>
      <c r="W71" s="2286"/>
      <c r="X71" s="2286"/>
      <c r="Y71" s="2286"/>
      <c r="Z71" s="2286"/>
      <c r="AA71" s="2286"/>
      <c r="AB71" s="2286"/>
      <c r="AC71" s="2286"/>
      <c r="AD71" s="2286"/>
      <c r="AE71" s="2286"/>
      <c r="AF71" s="2286"/>
      <c r="AG71" s="2286"/>
      <c r="AH71" s="2286"/>
      <c r="AI71" s="2286"/>
      <c r="AJ71" s="2286"/>
      <c r="AK71" s="2286"/>
      <c r="AL71" s="2286"/>
      <c r="AM71" s="2286"/>
      <c r="AN71" s="2286"/>
      <c r="AO71" s="2286"/>
      <c r="AP71" s="2286"/>
      <c r="AQ71" s="2286"/>
      <c r="AW71" s="1156">
        <v>18</v>
      </c>
    </row>
    <row customHeight="1" ht="22.5" hidden="1">
      <c r="A72" s="1156" t="s">
        <v>83</v>
      </c>
      <c r="B72" s="1156">
        <v>0</v>
      </c>
      <c r="C72" s="1156">
        <v>0</v>
      </c>
      <c r="D72" s="1156">
        <v>0</v>
      </c>
      <c r="E72" s="1156">
        <v>0</v>
      </c>
      <c r="F72" s="1156">
        <v>0</v>
      </c>
      <c r="G72" s="1156">
        <v>0</v>
      </c>
      <c r="H72" s="1156">
        <v>0</v>
      </c>
      <c r="I72" s="1156">
        <v>0</v>
      </c>
      <c r="J72" s="1156">
        <v>0</v>
      </c>
      <c r="K72" s="1156">
        <v>0</v>
      </c>
      <c r="L72" s="1156">
        <v>0</v>
      </c>
      <c r="M72" s="1328">
        <v>0</v>
      </c>
      <c r="N72" s="1329">
        <v>0</v>
      </c>
      <c r="O72" s="1329">
        <v>0</v>
      </c>
      <c r="P72" s="1329">
        <v>0</v>
      </c>
      <c r="Q72" s="1329">
        <v>0</v>
      </c>
      <c r="R72" s="345">
        <v>3</v>
      </c>
      <c r="S72" s="345">
        <v>3</v>
      </c>
      <c r="T72" s="345">
        <v>3</v>
      </c>
      <c r="U72" s="582">
        <v>12</v>
      </c>
      <c r="V72" s="1156">
        <v>31</v>
      </c>
      <c r="W72" s="1156">
        <v>0</v>
      </c>
      <c r="X72" s="1156">
        <v>0</v>
      </c>
      <c r="Y72" s="1156">
        <v>0</v>
      </c>
      <c r="Z72" s="1156">
        <v>0</v>
      </c>
      <c r="AA72" s="1156">
        <v>0</v>
      </c>
      <c r="AB72" s="1156">
        <v>0</v>
      </c>
      <c r="AC72" s="1156">
        <v>0</v>
      </c>
      <c r="AD72" s="1156">
        <v>0</v>
      </c>
      <c r="AE72" s="1156">
        <v>0</v>
      </c>
      <c r="AF72" s="1156">
        <v>0</v>
      </c>
      <c r="AG72" s="1156">
        <v>21</v>
      </c>
      <c r="AH72" s="1156">
        <v>21</v>
      </c>
      <c r="AI72" s="1156">
        <v>21</v>
      </c>
      <c r="AJ72" s="1156">
        <v>21</v>
      </c>
      <c r="AK72" s="1156">
        <v>21</v>
      </c>
      <c r="AL72" s="1156">
        <v>11</v>
      </c>
      <c r="AM72" s="1156">
        <v>3</v>
      </c>
      <c r="AN72" s="1156">
        <v>11</v>
      </c>
      <c r="AO72" s="1156">
        <v>8</v>
      </c>
      <c r="AP72" s="1156">
        <v>4</v>
      </c>
      <c r="AQ72" s="1156">
        <v>115</v>
      </c>
      <c r="AR72" s="512">
        <v>10</v>
      </c>
      <c r="AS72" s="512">
        <v>10</v>
      </c>
      <c r="AT72" s="512">
        <v>10</v>
      </c>
      <c r="AU72" s="512">
        <v>10</v>
      </c>
      <c r="AV72" s="512">
        <v>10</v>
      </c>
      <c r="AW72" s="1156">
        <v>23</v>
      </c>
    </row>
  </sheetData>
  <sheetProtection formatColumns="0" formatRows="0" autoFilter="0" sort="0" insertRows="0" insertColumns="1" deleteRows="0" deleteColumns="0"/>
  <mergeCells count="122">
    <mergeCell ref="V71:AQ71"/>
    <mergeCell ref="U39:V39"/>
    <mergeCell ref="X39:AE39"/>
    <mergeCell ref="AG39:AN39"/>
    <mergeCell ref="U38:V38"/>
    <mergeCell ref="X38:AE38"/>
    <mergeCell ref="AG38:AN38"/>
    <mergeCell ref="AL55:AL58"/>
    <mergeCell ref="AM55:AM58"/>
    <mergeCell ref="AN55:AN58"/>
    <mergeCell ref="AO55:AO58"/>
    <mergeCell ref="V70:AQ70"/>
    <mergeCell ref="AQ42:AQ47"/>
    <mergeCell ref="AQ56:AQ59"/>
    <mergeCell ref="V67:AQ67"/>
    <mergeCell ref="V68:AQ68"/>
    <mergeCell ref="Y44:AB44"/>
    <mergeCell ref="Y45:Y47"/>
    <mergeCell ref="Z45:AB45"/>
    <mergeCell ref="AA46:AB46"/>
    <mergeCell ref="Z46:Z47"/>
    <mergeCell ref="AC46:AC47"/>
    <mergeCell ref="AD46:AE47"/>
    <mergeCell ref="AC44:AE45"/>
    <mergeCell ref="AH44:AK44"/>
    <mergeCell ref="AL44:AN45"/>
    <mergeCell ref="AH45:AH47"/>
    <mergeCell ref="X53:AF53"/>
    <mergeCell ref="AG53:AP53"/>
    <mergeCell ref="AI45:AK45"/>
    <mergeCell ref="AI46:AI47"/>
    <mergeCell ref="AJ46:AK46"/>
    <mergeCell ref="AL46:AL47"/>
    <mergeCell ref="AM46:AN47"/>
    <mergeCell ref="AP43:AP47"/>
    <mergeCell ref="X44:X47"/>
    <mergeCell ref="AG44:AG47"/>
    <mergeCell ref="AC55:AC58"/>
    <mergeCell ref="AE55:AE58"/>
    <mergeCell ref="AD55:AD58"/>
    <mergeCell ref="E49:E64"/>
    <mergeCell ref="X49:AF49"/>
    <mergeCell ref="AG49:AP49"/>
    <mergeCell ref="F50:F63"/>
    <mergeCell ref="X50:AF50"/>
    <mergeCell ref="AG50:AP50"/>
    <mergeCell ref="G51:G62"/>
    <mergeCell ref="X51:AF51"/>
    <mergeCell ref="AG51:AP51"/>
    <mergeCell ref="H52:H61"/>
    <mergeCell ref="X52:AF52"/>
    <mergeCell ref="AG52:AP52"/>
    <mergeCell ref="I53:I60"/>
    <mergeCell ref="Q53:Q60"/>
    <mergeCell ref="L56:L57"/>
    <mergeCell ref="AF55:AF58"/>
    <mergeCell ref="U36:V36"/>
    <mergeCell ref="X36:AE36"/>
    <mergeCell ref="AG36:AN36"/>
    <mergeCell ref="X33:AE33"/>
    <mergeCell ref="AG33:AN33"/>
    <mergeCell ref="U34:V34"/>
    <mergeCell ref="X34:AE34"/>
    <mergeCell ref="AG34:AN34"/>
    <mergeCell ref="J54:J59"/>
    <mergeCell ref="R54:R59"/>
    <mergeCell ref="X54:AF54"/>
    <mergeCell ref="AG54:AP54"/>
    <mergeCell ref="K55:K58"/>
    <mergeCell ref="AD48:AE48"/>
    <mergeCell ref="AM48:AN48"/>
    <mergeCell ref="X41:AF41"/>
    <mergeCell ref="AG41:AO41"/>
    <mergeCell ref="U42:AP42"/>
    <mergeCell ref="U43:U47"/>
    <mergeCell ref="V43:V47"/>
    <mergeCell ref="X43:AE43"/>
    <mergeCell ref="AF43:AF47"/>
    <mergeCell ref="AG43:AN43"/>
    <mergeCell ref="AO43:AO47"/>
    <mergeCell ref="AQ9:AQ12"/>
    <mergeCell ref="J7:J12"/>
    <mergeCell ref="R7:R12"/>
    <mergeCell ref="X7:AF7"/>
    <mergeCell ref="AG7:AP7"/>
    <mergeCell ref="S8:S11"/>
    <mergeCell ref="U35:V35"/>
    <mergeCell ref="X35:AE35"/>
    <mergeCell ref="AG35:AN35"/>
    <mergeCell ref="K8:K11"/>
    <mergeCell ref="L9:L10"/>
    <mergeCell ref="AC8:AC11"/>
    <mergeCell ref="AE8:AE11"/>
    <mergeCell ref="AD8:AD11"/>
    <mergeCell ref="AF8:AF11"/>
    <mergeCell ref="AL8:AL11"/>
    <mergeCell ref="AM8:AM11"/>
    <mergeCell ref="AN8:AN11"/>
    <mergeCell ref="AO8:AO11"/>
    <mergeCell ref="U30:AN30"/>
    <mergeCell ref="U31:AN31"/>
    <mergeCell ref="U33:V33"/>
    <mergeCell ref="AL19:AL22"/>
    <mergeCell ref="AM19:AM22"/>
    <mergeCell ref="AN19:AN22"/>
    <mergeCell ref="AO19:AO22"/>
    <mergeCell ref="E2:E17"/>
    <mergeCell ref="X2:AF2"/>
    <mergeCell ref="AG2:AP2"/>
    <mergeCell ref="F3:F16"/>
    <mergeCell ref="X3:AF3"/>
    <mergeCell ref="AG3:AP3"/>
    <mergeCell ref="G4:G15"/>
    <mergeCell ref="X4:AF4"/>
    <mergeCell ref="AG4:AP4"/>
    <mergeCell ref="H5:H14"/>
    <mergeCell ref="X5:AF5"/>
    <mergeCell ref="AG5:AP5"/>
    <mergeCell ref="I6:I13"/>
    <mergeCell ref="Q6:Q13"/>
    <mergeCell ref="X6:AF6"/>
    <mergeCell ref="AG6:AP6"/>
  </mergeCells>
  <dataValidations count="8">
    <dataValidation type="list" allowBlank="1" showInputMessage="1" showErrorMessage="1" errorTitle="Ошибка" error="Выберите значение из списка" sqref="V65592 V131128 V196664 V262200 V327736 V393272 V458808 V524344 V589880 V655416 V720952 V786488 V852024 V917560 V983096">
      <formula1>kind_of_heat_transfer</formula1>
    </dataValidation>
    <dataValidation type="list" allowBlank="1" showInputMessage="1" showErrorMessage="1" errorTitle="Ошибка" error="Выберите значение из списка" sqref="X983094:Z983094 X65590:Z65590 X131126:Z131126 X196662:Z196662 X262198:Z262198 X327734:Z327734 X393270:Z393270 X458806:Z458806 X524342:Z524342 X589878:Z589878 X655414:Z655414 X720950:Z720950 X786486:Z786486 X852022:Z852022 X917558:Z917558 AG983094:AI983094 AG65590:AI65590 AG131126:AI131126 AG196662:AI196662 AG262198:AI262198 AG327734:AI327734 AG393270:AI393270 AG458806:AI458806 AG524342:AI524342 AG589878:AI589878 AG655414:AI655414 AG720950:AI720950 AG786486:AI786486 AG852022:AI852022 AG917558:AI917558">
      <formula1>kind_of_scheme_in</formula1>
    </dataValidation>
    <dataValidation type="list" allowBlank="1" showInputMessage="1" errorTitle="Ошибка" error="Выберите значение из списка" prompt="Выберите значение из списка" sqref="X983095:AP983095 X65591:AP65591 X131127:AP131127 X196663:AP196663 X262199:AP262199 X327735:AP327735 X393271:AP393271 X458807:AP458807 X524343:AP524343 X589879:AP589879 X655415:AP655415 X720951:AP720951 X786487:AP786487 X852023:AP852023 X917559:AP917559">
      <formula1>kind_of_cons</formula1>
    </dataValidation>
    <dataValidation allowBlank="1" sqref="U131130:AQ131136 U196666:AQ196672 U262202:AQ262208 U327738:AQ327744 U393274:AQ393280 U458810:AQ458816 U524346:AQ524352 U589882:AQ589888 U655418:AQ655424 U720954:AQ720960 U786490:AQ786496 U852026:AQ852032 U917562:AQ917568 U983098:AQ983104 U65594:AQ65600"/>
    <dataValidation type="textLength" operator="lessThanOrEqual" allowBlank="1" showInputMessage="1" showErrorMessage="1" errorTitle="Ошибка" error="Допускается ввод не более 900 символов!" sqref="AQ65586:AQ65593 AQ131122:AQ131129 AQ196658:AQ196665 AQ262194:AQ262201 AQ327730:AQ327737 AQ393266:AQ393273 AQ458802:AQ458809 AQ524338:AQ524345 AQ589874:AQ589881 AQ655410:AQ655417 AQ720946:AQ720953 AQ786482:AQ786489 AQ852018:AQ852025 AQ917554:AQ917561 AQ983090:AQ983097">
      <formula1>900</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AC65592 AC131128 AC196664 AC262200 AC327736 AC393272 AC458808 AC524344 AC589880 AC655416 AC720952 AC786488 AC852024 AC917560 AC983096 AE65592 AE131128 AE196664 AE262200 AE327736 AE393272 AE458808 AE524344 AE589880 AE655416 AE720952 AE786488 AE852024 AE917560 AE983096 AN55 AL65592 AL131128 AL196664 AL262200 AL327736 AL393272 AL458808 AL524344 AL589880 AL655416 AL720952 AL786488 AL852024 AL917560 AL983096 AN65592 AN131128 AN196664 AN262200 AN327736 AN393272 AN458808 AN524344 AN589880 AN655416 AN720952 AN786488 AN852024 AN917560 AN983096 AC55 AE55 AL55 AE8 AC8 AL19:AL21 AN19:AN21 AN8 AL8"/>
    <dataValidation allowBlank="1" promptTitle="checkPeriodRange" sqref="AB65593 AB131129 AB196665 AB262201 AB327737 AB393273 AB458809 AB524345 AB589881 AB655417 AB720953 AB786489 AB852025 AB917561 AB983097 AB10:AB11 AK65593 AK131129 AK196665 AK262201 AK327737 AK393273 AK458809 AK524345 AK589881 AK655417 AK720953 AK786489 AK852025 AK917561 AK983097 AK10:AK11 AK57 AK22 AB57"/>
    <dataValidation allowBlank="1" showInputMessage="1" showErrorMessage="1" prompt="Для выбора выполните двойной щелчок левой клавиши мыши по соответствующей ячейке." sqref="AD65592 AD131128 AD196664 AD262200 AD327736 AD393272 AD458808 AD524344 AD589880 AD655416 AD720952 AD786488 AD852024 AD917560 AD983096 AF131128 AF458808 AF196664 AF262200 AF327736 AF393272 AF524344 AF589880 AF655416 AF720952 AF786488 AF852024 AF917560 AF983096 AF65592 AM65592 AM131128 AM196664 AM262200 AM327736 AM393272 AM458808 AM524344 AM589880 AM655416 AM720952 AM786488 AM852024 AM917560 AM983096 AO393272 AO327736 AO524344 AO55 AO589880 AO655416 AO19:AO21 AO720952 AO786488 AO852024 AO917560 AO983096 AO65592 AO131128 AO458808 AF55 AO196664 AF8 AD8 AM55 AM19:AM21 AO262200 AD55 AO8 AM8"/>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dr="http://schemas.openxmlformats.org/drawingml/2006/spreadsheetDrawing" xmlns:x14ac="http://schemas.microsoft.com/office/spreadsheetml/2009/9/ac" xmlns:xr="http://schemas.microsoft.com/office/spreadsheetml/2014/revision" xmlns:xr2="http://schemas.microsoft.com/office/spreadsheetml/2015/revision2" xmlns:xr3="http://schemas.microsoft.com/office/spreadsheetml/2016/revision3" xr:uid="{1868F681-2B78-8438-10AE-9150E953FA9D}" mc:Ignorable="x14ac xr xr2 xr3">
  <sheetPr>
    <tabColor rgb="FFCCCCFF"/>
  </sheetPr>
  <dimension ref="A1:Q79"/>
  <sheetViews>
    <sheetView topLeftCell="C22" showGridLines="0" zoomScale="90" workbookViewId="0">
      <selection activeCell="F64" sqref="F64"/>
    </sheetView>
  </sheetViews>
  <sheetFormatPr defaultColWidth="9.140625" customHeight="1" defaultRowHeight="11.25"/>
  <cols>
    <col min="1" max="1" style="788" width="10.7109375" hidden="1" customWidth="1"/>
    <col min="2" max="2" style="733" width="10.7109375" hidden="1" customWidth="1"/>
    <col min="3" max="3" style="531" width="3.00390625" customWidth="1"/>
    <col min="4" max="4" style="1636" width="1.00390625" customWidth="1"/>
    <col min="5" max="6" style="1636" width="55.00390625" customWidth="1"/>
    <col min="7" max="7" style="2126" width="1.00390625" customWidth="1"/>
    <col min="8" max="8" style="1636" width="18.00390625" hidden="1" customWidth="1"/>
    <col min="9" max="9" style="532" width="59.00390625" customWidth="1"/>
    <col min="10" max="10" style="1367" width="52.140625" hidden="1" customWidth="1"/>
    <col min="11" max="11" style="1636" width="8.00390625" customWidth="1"/>
    <col min="12" max="12" style="1636" width="77.00390625" customWidth="1"/>
    <col min="13" max="16" style="1636" width="8.00390625" customWidth="1"/>
    <col min="17" max="17" style="1636" width="12.00390625" hidden="1" customWidth="1"/>
  </cols>
  <sheetData>
    <row s="623" customFormat="1" customHeight="1" ht="3">
      <c r="A1" s="784"/>
      <c r="B1" s="242"/>
      <c r="F1" s="243" t="s">
        <v>13</v>
      </c>
      <c r="G1" s="412"/>
      <c r="H1" s="72"/>
      <c r="I1" s="412"/>
      <c r="J1" s="872"/>
      <c r="Q1" s="243" t="s">
        <v>14</v>
      </c>
    </row>
    <row s="1633" customFormat="1" customHeight="1" ht="14.25">
      <c r="A2" s="784"/>
      <c r="B2" s="99"/>
      <c r="E2" s="1741" t="str">
        <f>code</f>
        <v>Код отчёта: PP110.OPEN.INFO.REQUEST.HEAT.EIAS</v>
      </c>
      <c r="F2" s="270"/>
      <c r="G2" s="246"/>
      <c r="H2" s="246"/>
      <c r="I2" s="246"/>
      <c r="J2" s="873"/>
      <c r="K2" s="246"/>
      <c r="Q2" s="72">
        <v>14</v>
      </c>
    </row>
    <row customHeight="1" ht="14.699999999999998">
      <c r="E3" s="247" t="str">
        <f>version</f>
        <v>Версия отчёта: 1.1.1</v>
      </c>
      <c r="F3" s="270"/>
      <c r="G3" s="771"/>
      <c r="H3" s="771"/>
      <c r="I3" s="771"/>
      <c r="J3" s="874"/>
      <c r="K3" s="89"/>
      <c r="Q3" s="75">
        <v>14</v>
      </c>
    </row>
    <row s="1613" customFormat="1" customHeight="1" ht="6.3">
      <c r="A4" s="785"/>
      <c r="B4" s="233"/>
      <c r="C4" s="234"/>
      <c r="D4" s="235"/>
      <c r="E4" s="244"/>
      <c r="F4" s="245"/>
      <c r="G4" s="772"/>
      <c r="H4" s="410"/>
      <c r="I4" s="412"/>
      <c r="J4" s="875"/>
      <c r="Q4" s="237">
        <v>6</v>
      </c>
    </row>
    <row customHeight="1" ht="39.75">
      <c r="D5" s="76"/>
      <c r="E5" s="2096" t="str">
        <f>NameTemplatesInTitle</f>
        <v>Предложение регулируемой организации об установлении тарифов в сфере теплоснабжения, информация о способах приобретения, стоимости и объемах товаров, необходимых для производства регулируемых товаров и (или) оказания регулируемых услуг</v>
      </c>
      <c r="F5" s="2097"/>
      <c r="G5" s="773"/>
      <c r="J5" s="876"/>
      <c r="Q5" s="75">
        <v>38</v>
      </c>
    </row>
    <row s="1613" customFormat="1" customHeight="1" ht="6.3">
      <c r="A6" s="785"/>
      <c r="B6" s="233"/>
      <c r="C6" s="234"/>
      <c r="D6" s="235"/>
      <c r="E6" s="238"/>
      <c r="F6" s="239"/>
      <c r="G6" s="773"/>
      <c r="H6" s="410"/>
      <c r="I6" s="412"/>
      <c r="J6" s="875"/>
      <c r="Q6" s="237">
        <v>6</v>
      </c>
    </row>
    <row customHeight="1" ht="21">
      <c r="D7" s="76"/>
      <c r="E7" s="392" t="s">
        <v>15</v>
      </c>
      <c r="F7" s="216" t="s">
        <v>16</v>
      </c>
      <c r="G7" s="773"/>
      <c r="Q7" s="75">
        <v>20</v>
      </c>
    </row>
    <row s="1613" customFormat="1" customHeight="1" ht="6.3">
      <c r="A8" s="786"/>
      <c r="B8" s="233"/>
      <c r="C8" s="234"/>
      <c r="D8" s="240"/>
      <c r="E8" s="238"/>
      <c r="F8" s="241"/>
      <c r="G8" s="78"/>
      <c r="H8" s="410"/>
      <c r="I8" s="412"/>
      <c r="J8" s="878"/>
      <c r="Q8" s="237">
        <v>6</v>
      </c>
    </row>
    <row s="1636" customFormat="1" customHeight="1" ht="19.5" hidden="1">
      <c r="A9" s="785"/>
      <c r="B9" s="99"/>
      <c r="C9" s="409"/>
      <c r="D9" s="411"/>
      <c r="E9" s="1166" t="s">
        <v>17</v>
      </c>
      <c r="F9" s="1922"/>
      <c r="G9" s="773"/>
      <c r="I9" s="1901" t="str">
        <f>IF(TITLE_STRUCTURE_INFO_ROIV="","","раскрывается "&amp;INDEX(ROIV_INFO_COMMENT,MATCH(TITLE_STRUCTURE_INFO_ROIV,ROIV_INFO_LIST,0)))</f>
        <v/>
      </c>
      <c r="J9" s="877"/>
      <c r="Q9" s="410">
        <v>0</v>
      </c>
    </row>
    <row s="1613" customFormat="1" customHeight="1" ht="24" hidden="1">
      <c r="A10" s="786"/>
      <c r="B10" s="427"/>
      <c r="C10" s="428"/>
      <c r="D10" s="240"/>
      <c r="E10" s="1166" t="s">
        <v>18</v>
      </c>
      <c r="F10" s="2067" t="s">
        <v>19</v>
      </c>
      <c r="G10" s="78"/>
      <c r="H10" s="410"/>
      <c r="I10" s="412"/>
      <c r="J10" s="878"/>
      <c r="Q10" s="431">
        <v>24</v>
      </c>
    </row>
    <row customHeight="1" ht="22.5">
      <c r="A11" s="2099" t="s">
        <v>20</v>
      </c>
      <c r="D11" s="76"/>
      <c r="E11" s="1166" t="s">
        <v>21</v>
      </c>
      <c r="F11" s="1733">
        <v>45292</v>
      </c>
      <c r="G11" s="78"/>
      <c r="H11" s="774" t="s">
        <v>22</v>
      </c>
      <c r="J11" s="877" t="s">
        <v>23</v>
      </c>
      <c r="Q11" s="75">
        <v>0</v>
      </c>
    </row>
    <row customHeight="1" ht="22.5">
      <c r="A12" s="2099"/>
      <c r="D12" s="76"/>
      <c r="E12" s="1166" t="s">
        <v>24</v>
      </c>
      <c r="F12" s="1733">
        <v>47118</v>
      </c>
      <c r="G12" s="74"/>
      <c r="J12" s="877" t="s">
        <v>25</v>
      </c>
      <c r="Q12" s="75">
        <v>0</v>
      </c>
    </row>
    <row s="1636" customFormat="1" customHeight="1" ht="22.5" hidden="1">
      <c r="A13" s="789" t="s">
        <v>26</v>
      </c>
      <c r="B13" s="99"/>
      <c r="C13" s="409"/>
      <c r="D13" s="411"/>
      <c r="E13" s="1776" t="s">
        <v>27</v>
      </c>
      <c r="F13" s="1733" t="s">
        <v>28</v>
      </c>
      <c r="G13" s="78"/>
      <c r="H13" s="771"/>
      <c r="I13" s="412"/>
      <c r="J13" s="1777" t="s">
        <v>29</v>
      </c>
      <c r="Q13" s="410">
        <v>0</v>
      </c>
    </row>
    <row s="1636" customFormat="1" customHeight="1" ht="27" hidden="1">
      <c r="A14" s="789" t="s">
        <v>30</v>
      </c>
      <c r="B14" s="99"/>
      <c r="C14" s="409"/>
      <c r="D14" s="411"/>
      <c r="E14" s="1166" t="s">
        <v>31</v>
      </c>
      <c r="F14" s="1768"/>
      <c r="G14" s="78"/>
      <c r="H14" s="771"/>
      <c r="I14" s="412"/>
      <c r="J14" s="877" t="s">
        <v>32</v>
      </c>
      <c r="Q14" s="410">
        <v>0</v>
      </c>
    </row>
    <row s="1636" customFormat="1" customHeight="1" ht="19.5" hidden="1">
      <c r="A15" s="789" t="s">
        <v>33</v>
      </c>
      <c r="B15" s="99"/>
      <c r="C15" s="409"/>
      <c r="D15" s="411"/>
      <c r="E15" s="1166" t="s">
        <v>34</v>
      </c>
      <c r="F15" s="1768"/>
      <c r="G15" s="78"/>
      <c r="H15" s="771"/>
      <c r="I15" s="412"/>
      <c r="J15" s="877" t="s">
        <v>35</v>
      </c>
      <c r="Q15" s="410">
        <v>0</v>
      </c>
    </row>
    <row s="1613" customFormat="1" customHeight="1" ht="6.3">
      <c r="A16" s="786"/>
      <c r="B16" s="233"/>
      <c r="C16" s="234"/>
      <c r="D16" s="240"/>
      <c r="E16" s="238"/>
      <c r="F16" s="241"/>
      <c r="G16" s="78"/>
      <c r="H16" s="410"/>
      <c r="I16" s="412"/>
      <c r="J16" s="875"/>
      <c r="Q16" s="237">
        <v>6</v>
      </c>
    </row>
    <row customHeight="1" ht="21">
      <c r="D17" s="76"/>
      <c r="E17" s="392" t="s">
        <v>36</v>
      </c>
      <c r="F17" s="2577" t="s">
        <v>37</v>
      </c>
      <c r="G17" s="74"/>
      <c r="H17" s="774" t="s">
        <v>22</v>
      </c>
      <c r="Q17" s="75">
        <v>20</v>
      </c>
    </row>
    <row customHeight="1" ht="25.5">
      <c r="D18" s="76"/>
      <c r="E18" s="1776" t="s">
        <v>38</v>
      </c>
      <c r="F18" s="2630">
        <v>46147</v>
      </c>
      <c r="G18" s="74"/>
      <c r="I18" s="775"/>
      <c r="J18" s="2098" t="s">
        <v>39</v>
      </c>
      <c r="Q18" s="75">
        <v>0</v>
      </c>
    </row>
    <row customHeight="1" ht="25.5">
      <c r="D19" s="76"/>
      <c r="E19" s="1166" t="str">
        <f>"Дата периода регулирования, с которой "&amp;IF(TEMPLATE_GROUP="P","вводятся","предлагаются")&amp;" изменения в тарифы"</f>
        <v>Дата периода регулирования, с которой предлагаются изменения в тарифы</v>
      </c>
      <c r="F19" s="2630">
        <v>46388</v>
      </c>
      <c r="G19" s="74"/>
      <c r="I19" s="775"/>
      <c r="J19" s="2098"/>
      <c r="Q19" s="75">
        <v>0</v>
      </c>
    </row>
    <row customHeight="1" ht="22.5">
      <c r="D20" s="76"/>
      <c r="E20" s="77"/>
      <c r="F20" s="271" t="str">
        <f>"Первичное "&amp;IF(TEMPLATE_GROUP="P","установление тарифов","предложение по тарифам")</f>
        <v>Первичное предложение по тарифам</v>
      </c>
      <c r="G20" s="74"/>
      <c r="I20" s="395"/>
      <c r="J20" s="876" t="s">
        <v>40</v>
      </c>
      <c r="Q20" s="75">
        <v>0</v>
      </c>
    </row>
    <row customHeight="1" ht="19.5">
      <c r="D21" s="76"/>
      <c r="E21" s="392" t="str">
        <f>"Дата "&amp;IF(TEMPLATE_GROUP="P","документа","подачи заявления")&amp;" об утверждении тарифов"</f>
        <v>Дата подачи заявления об утверждении тарифов</v>
      </c>
      <c r="F21" s="1733">
        <v>45044</v>
      </c>
      <c r="G21" s="74"/>
      <c r="I21" s="776"/>
      <c r="Q21" s="75">
        <v>0</v>
      </c>
    </row>
    <row customHeight="1" ht="19.5">
      <c r="D22" s="76"/>
      <c r="E22" s="392" t="str">
        <f>"Номер "&amp;IF(TEMPLATE_GROUP="P","документа","подачи заявления")&amp;" об утверждении тарифов"</f>
        <v>Номер подачи заявления об утверждении тарифов</v>
      </c>
      <c r="F22" s="217" t="s">
        <v>41</v>
      </c>
      <c r="G22" s="74"/>
      <c r="I22" s="776"/>
      <c r="Q22" s="75">
        <v>0</v>
      </c>
    </row>
    <row customHeight="1" ht="22.5" hidden="1">
      <c r="D23" s="76"/>
      <c r="E23" s="392" t="s">
        <v>42</v>
      </c>
      <c r="F23" s="217"/>
      <c r="G23" s="74"/>
      <c r="Q23" s="75">
        <v>0</v>
      </c>
    </row>
    <row customHeight="1" ht="19.5" hidden="1">
      <c r="D24" s="76"/>
      <c r="E24" s="392" t="s">
        <v>43</v>
      </c>
      <c r="F24" s="217"/>
      <c r="G24" s="74"/>
      <c r="Q24" s="75">
        <v>0</v>
      </c>
    </row>
    <row customHeight="1" ht="22.5">
      <c r="D25" s="76"/>
      <c r="E25" s="77"/>
      <c r="F25" s="271" t="str">
        <f>"Изменение "&amp;IF(TEMPLATE_GROUP="P","тарифов","предложения по тарифам")</f>
        <v>Изменение предложения по тарифам</v>
      </c>
      <c r="G25" s="74"/>
      <c r="J25" s="876" t="s">
        <v>44</v>
      </c>
      <c r="Q25" s="75">
        <v>0</v>
      </c>
    </row>
    <row customHeight="1" ht="19.5">
      <c r="D26" s="76"/>
      <c r="E26" s="392" t="str">
        <f>"Дата "&amp;IF(TEMPLATE_GROUP="P","принятия решения","подачи заявления")&amp;" об изменении тарифов"</f>
        <v>Дата подачи заявления об изменении тарифов</v>
      </c>
      <c r="F26" s="2630">
        <v>46142</v>
      </c>
      <c r="G26" s="74"/>
      <c r="Q26" s="75">
        <v>0</v>
      </c>
    </row>
    <row customHeight="1" ht="19.5">
      <c r="D27" s="76"/>
      <c r="E27" s="1166" t="str">
        <f>"Номер "&amp;IF(TEMPLATE_GROUP="P","принятия решения","заявления")&amp;" об изменении тарифов"</f>
        <v>Номер заявления об изменении тарифов</v>
      </c>
      <c r="F27" s="2631" t="s">
        <v>45</v>
      </c>
      <c r="G27" s="74"/>
      <c r="Q27" s="75">
        <v>0</v>
      </c>
    </row>
    <row customHeight="1" ht="24.75" hidden="1">
      <c r="D28" s="76"/>
      <c r="E28" s="392" t="s">
        <v>46</v>
      </c>
      <c r="F28" s="219"/>
      <c r="G28" s="74"/>
      <c r="Q28" s="75">
        <v>0</v>
      </c>
    </row>
    <row customHeight="1" ht="19.5" hidden="1">
      <c r="D29" s="76"/>
      <c r="E29" s="392" t="s">
        <v>43</v>
      </c>
      <c r="F29" s="219"/>
      <c r="G29" s="74"/>
      <c r="Q29" s="75">
        <v>0</v>
      </c>
    </row>
    <row s="1613" customFormat="1" customHeight="1" ht="6.3">
      <c r="A30" s="786"/>
      <c r="B30" s="233"/>
      <c r="C30" s="234"/>
      <c r="D30" s="240"/>
      <c r="E30" s="238"/>
      <c r="F30" s="241"/>
      <c r="G30" s="78"/>
      <c r="H30" s="410"/>
      <c r="I30" s="412"/>
      <c r="J30" s="875"/>
      <c r="Q30" s="237">
        <v>6</v>
      </c>
    </row>
    <row customHeight="1" ht="21">
      <c r="C31" s="79"/>
      <c r="D31" s="80"/>
      <c r="E31" s="392" t="str">
        <f>"Наименование "&amp;IF(TEMPLATE_GROUP="ROIV","органа тарифного регулирования","ЮЛ / ИП")</f>
        <v>Наименование ЮЛ / ИП</v>
      </c>
      <c r="F31" s="218" t="s">
        <v>47</v>
      </c>
      <c r="G31" s="777"/>
      <c r="Q31" s="75">
        <v>20</v>
      </c>
    </row>
    <row customHeight="1" ht="21" hidden="1">
      <c r="C32" s="79"/>
      <c r="D32" s="80"/>
      <c r="E32" s="393" t="s">
        <v>48</v>
      </c>
      <c r="F32" s="218"/>
      <c r="G32" s="777"/>
      <c r="Q32" s="75">
        <v>20</v>
      </c>
    </row>
    <row customHeight="1" ht="21">
      <c r="C33" s="79"/>
      <c r="D33" s="80"/>
      <c r="E33" s="392" t="s">
        <v>49</v>
      </c>
      <c r="F33" s="218" t="s">
        <v>50</v>
      </c>
      <c r="G33" s="777"/>
      <c r="Q33" s="75">
        <v>20</v>
      </c>
    </row>
    <row customHeight="1" ht="21">
      <c r="C34" s="79"/>
      <c r="D34" s="80"/>
      <c r="E34" s="392" t="s">
        <v>51</v>
      </c>
      <c r="F34" s="218" t="s">
        <v>52</v>
      </c>
      <c r="G34" s="777"/>
      <c r="H34" s="81"/>
      <c r="Q34" s="75">
        <v>20</v>
      </c>
    </row>
    <row s="1613" customFormat="1" customHeight="1" ht="11.549999999999999">
      <c r="A35" s="786"/>
      <c r="B35" s="233"/>
      <c r="C35" s="234"/>
      <c r="D35" s="240"/>
      <c r="E35" s="238"/>
      <c r="F35" s="241"/>
      <c r="G35" s="78"/>
      <c r="H35" s="410"/>
      <c r="I35" s="412"/>
      <c r="J35" s="875"/>
      <c r="Q35" s="237">
        <v>11</v>
      </c>
    </row>
    <row customHeight="1" ht="19.5">
      <c r="A36" s="880"/>
      <c r="D36" s="80"/>
      <c r="E36" s="392" t="s">
        <v>53</v>
      </c>
      <c r="F36" s="1211" t="s">
        <v>54</v>
      </c>
      <c r="G36" s="78"/>
      <c r="Q36" s="75">
        <v>0</v>
      </c>
    </row>
    <row customHeight="1" ht="21">
      <c r="A37" s="880"/>
      <c r="D37" s="80"/>
      <c r="E37" s="392" t="s">
        <v>55</v>
      </c>
      <c r="F37" s="1211" t="s">
        <v>56</v>
      </c>
      <c r="G37" s="78"/>
      <c r="Q37" s="75">
        <v>20</v>
      </c>
    </row>
    <row s="1613" customFormat="1" customHeight="1" ht="6.3">
      <c r="A38" s="786"/>
      <c r="B38" s="233"/>
      <c r="C38" s="234"/>
      <c r="D38" s="235"/>
      <c r="E38" s="236"/>
      <c r="F38" s="1054"/>
      <c r="G38" s="74"/>
      <c r="H38" s="410"/>
      <c r="I38" s="412"/>
      <c r="J38" s="877"/>
      <c r="Q38" s="237">
        <v>6</v>
      </c>
    </row>
    <row customHeight="1" ht="36.75">
      <c r="A39" s="786"/>
      <c r="D39" s="76"/>
      <c r="E39" s="392" t="s">
        <v>57</v>
      </c>
      <c r="F39" s="711" t="s">
        <v>19</v>
      </c>
      <c r="G39" s="74"/>
      <c r="H39" s="774" t="s">
        <v>22</v>
      </c>
      <c r="Q39" s="75">
        <v>35</v>
      </c>
    </row>
    <row s="1613" customFormat="1" customHeight="1" ht="6" hidden="1">
      <c r="A40" s="785"/>
      <c r="B40" s="427"/>
      <c r="C40" s="428"/>
      <c r="D40" s="429"/>
      <c r="E40" s="430"/>
      <c r="F40" s="1054"/>
      <c r="G40" s="74"/>
      <c r="H40" s="410"/>
      <c r="I40" s="412"/>
      <c r="J40" s="877"/>
      <c r="Q40" s="431">
        <v>6</v>
      </c>
    </row>
    <row s="1636" customFormat="1" customHeight="1" ht="26.25" hidden="1">
      <c r="A41" s="789" t="s">
        <v>26</v>
      </c>
      <c r="B41" s="414"/>
      <c r="C41" s="409"/>
      <c r="D41" s="411"/>
      <c r="E41" s="392" t="str">
        <f>"Дифференциация информации по централизованным системам  "&amp;TEMPLATE_SPHERE_RUS</f>
        <v>Дифференциация информации по централизованным системам  теплоснабжения</v>
      </c>
      <c r="F41" s="711" t="s">
        <v>19</v>
      </c>
      <c r="G41" s="74"/>
      <c r="I41" s="412"/>
      <c r="J41" s="877"/>
      <c r="Q41" s="410">
        <v>0</v>
      </c>
    </row>
    <row s="1613" customFormat="1" customHeight="1" ht="6">
      <c r="A42" s="785"/>
      <c r="B42" s="427"/>
      <c r="C42" s="428"/>
      <c r="D42" s="429"/>
      <c r="E42" s="430"/>
      <c r="F42" s="1054"/>
      <c r="G42" s="74"/>
      <c r="H42" s="410"/>
      <c r="I42" s="412"/>
      <c r="J42" s="875"/>
      <c r="Q42" s="431">
        <v>0</v>
      </c>
    </row>
    <row s="1636" customFormat="1" customHeight="1" ht="27" hidden="1">
      <c r="A43" s="785"/>
      <c r="B43" s="414"/>
      <c r="C43" s="409"/>
      <c r="D43" s="411"/>
      <c r="E43" s="392" t="s">
        <v>58</v>
      </c>
      <c r="F43" s="711" t="s">
        <v>19</v>
      </c>
      <c r="G43" s="74"/>
      <c r="I43" s="412"/>
      <c r="J43" s="877"/>
      <c r="Q43" s="410">
        <v>0</v>
      </c>
    </row>
    <row s="1636" customFormat="1" customHeight="1" ht="27" hidden="1">
      <c r="A44" s="785"/>
      <c r="B44" s="414"/>
      <c r="C44" s="409"/>
      <c r="D44" s="411"/>
      <c r="E44" s="1166" t="s">
        <v>59</v>
      </c>
      <c r="F44" s="1889"/>
      <c r="G44" s="74"/>
      <c r="I44" s="412"/>
      <c r="J44" s="877"/>
      <c r="Q44" s="410">
        <v>0</v>
      </c>
    </row>
    <row s="1613" customFormat="1" customHeight="1" ht="6">
      <c r="A45" s="785"/>
      <c r="B45" s="427"/>
      <c r="C45" s="428"/>
      <c r="D45" s="429"/>
      <c r="E45" s="430"/>
      <c r="F45" s="1054"/>
      <c r="G45" s="74"/>
      <c r="H45" s="410"/>
      <c r="I45" s="412"/>
      <c r="J45" s="877"/>
      <c r="Q45" s="431">
        <v>0</v>
      </c>
    </row>
    <row s="1613" customFormat="1" customHeight="1" ht="24.75">
      <c r="A46" s="785"/>
      <c r="B46" s="427"/>
      <c r="C46" s="428"/>
      <c r="D46" s="429"/>
      <c r="E46" s="1166" t="s">
        <v>60</v>
      </c>
      <c r="F46" s="711" t="s">
        <v>61</v>
      </c>
      <c r="G46" s="74"/>
      <c r="H46" s="410"/>
      <c r="I46" s="412"/>
      <c r="J46" s="877"/>
      <c r="Q46" s="431">
        <v>0</v>
      </c>
    </row>
    <row s="1636" customFormat="1" customHeight="1" ht="24.75">
      <c r="A47" s="785"/>
      <c r="B47" s="414"/>
      <c r="C47" s="409"/>
      <c r="D47" s="411"/>
      <c r="E47" s="1166" t="s">
        <v>62</v>
      </c>
      <c r="F47" s="711" t="s">
        <v>19</v>
      </c>
      <c r="G47" s="74"/>
      <c r="I47" s="412"/>
      <c r="J47" s="877"/>
      <c r="Q47" s="410">
        <v>0</v>
      </c>
    </row>
    <row s="1613" customFormat="1" customHeight="1" ht="6" hidden="1">
      <c r="A48" s="785"/>
      <c r="B48" s="233"/>
      <c r="C48" s="234"/>
      <c r="D48" s="235"/>
      <c r="E48" s="236"/>
      <c r="F48" s="1054"/>
      <c r="G48" s="74"/>
      <c r="H48" s="410"/>
      <c r="I48" s="412"/>
      <c r="J48" s="877"/>
      <c r="Q48" s="237">
        <v>0</v>
      </c>
    </row>
    <row customHeight="1" ht="29.25" hidden="1">
      <c r="B49" s="149"/>
      <c r="D49" s="76"/>
      <c r="E49" s="392" t="str">
        <f>"Организация осуществляет подключение (технологическое присоединение) к системе "&amp;TEMPLATE_SPHERE_RUS</f>
        <v>Организация осуществляет подключение (технологическое присоединение) к системе теплоснабжения</v>
      </c>
      <c r="F49" s="711"/>
      <c r="G49" s="74"/>
      <c r="Q49" s="75">
        <v>0</v>
      </c>
    </row>
    <row s="1613" customFormat="1" customHeight="1" ht="6" hidden="1">
      <c r="A50" s="786"/>
      <c r="B50" s="427"/>
      <c r="C50" s="428"/>
      <c r="D50" s="240"/>
      <c r="E50" s="238"/>
      <c r="F50" s="241"/>
      <c r="G50" s="78"/>
      <c r="H50" s="410"/>
      <c r="I50" s="412"/>
      <c r="J50" s="877"/>
      <c r="Q50" s="431">
        <v>0</v>
      </c>
    </row>
    <row s="1636" customFormat="1" customHeight="1" ht="28.5" hidden="1">
      <c r="A51" s="787"/>
      <c r="B51" s="414"/>
      <c r="C51" s="531"/>
      <c r="D51" s="532"/>
      <c r="E51" s="392" t="s">
        <v>63</v>
      </c>
      <c r="F51" s="711" t="s">
        <v>19</v>
      </c>
      <c r="G51" s="533"/>
      <c r="I51" s="535"/>
      <c r="J51" s="879"/>
      <c r="P51" s="536"/>
      <c r="Q51" s="534">
        <v>0</v>
      </c>
    </row>
    <row s="1613" customFormat="1" customHeight="1" ht="6" hidden="1">
      <c r="A52" s="786"/>
      <c r="B52" s="427"/>
      <c r="C52" s="428"/>
      <c r="D52" s="240"/>
      <c r="E52" s="238"/>
      <c r="F52" s="241"/>
      <c r="G52" s="78"/>
      <c r="H52" s="410"/>
      <c r="I52" s="412"/>
      <c r="J52" s="875"/>
      <c r="Q52" s="431">
        <v>0</v>
      </c>
    </row>
    <row s="1636" customFormat="1" customHeight="1" ht="27" hidden="1">
      <c r="A53" s="787"/>
      <c r="B53" s="414"/>
      <c r="C53" s="531"/>
      <c r="D53" s="532"/>
      <c r="E53" s="392" t="s">
        <v>64</v>
      </c>
      <c r="F53" s="1049" t="s">
        <v>19</v>
      </c>
      <c r="G53" s="533"/>
      <c r="I53" s="535"/>
      <c r="J53" s="879"/>
      <c r="P53" s="536"/>
      <c r="Q53" s="534">
        <v>0</v>
      </c>
    </row>
    <row s="1636" customFormat="1" customHeight="1" ht="27" hidden="1">
      <c r="A54" s="787"/>
      <c r="B54" s="414"/>
      <c r="C54" s="531"/>
      <c r="D54" s="532"/>
      <c r="E54" s="392" t="s">
        <v>65</v>
      </c>
      <c r="F54" s="1775"/>
      <c r="G54" s="533"/>
      <c r="I54" s="535"/>
      <c r="J54" s="879"/>
      <c r="P54" s="536"/>
      <c r="Q54" s="534">
        <v>0</v>
      </c>
    </row>
    <row s="1613" customFormat="1" customHeight="1" ht="6" hidden="1">
      <c r="A55" s="786"/>
      <c r="B55" s="427"/>
      <c r="C55" s="428"/>
      <c r="D55" s="240"/>
      <c r="E55" s="238"/>
      <c r="F55" s="241"/>
      <c r="G55" s="78"/>
      <c r="H55" s="410"/>
      <c r="I55" s="412"/>
      <c r="J55" s="875"/>
      <c r="Q55" s="431">
        <v>0</v>
      </c>
    </row>
    <row s="1636" customFormat="1" customHeight="1" ht="25.5" hidden="1">
      <c r="A56" s="787"/>
      <c r="B56" s="414"/>
      <c r="C56" s="531"/>
      <c r="D56" s="532"/>
      <c r="E56" s="392" t="s">
        <v>66</v>
      </c>
      <c r="F56" s="1049" t="s">
        <v>19</v>
      </c>
      <c r="G56" s="533"/>
      <c r="I56" s="535"/>
      <c r="J56" s="879"/>
      <c r="P56" s="536"/>
      <c r="Q56" s="534">
        <v>0</v>
      </c>
    </row>
    <row s="1613" customFormat="1" customHeight="1" ht="6" hidden="1">
      <c r="A57" s="786"/>
      <c r="B57" s="427"/>
      <c r="C57" s="428"/>
      <c r="D57" s="240"/>
      <c r="E57" s="238"/>
      <c r="F57" s="241"/>
      <c r="G57" s="78"/>
      <c r="H57" s="410"/>
      <c r="I57" s="412"/>
      <c r="J57" s="875"/>
      <c r="Q57" s="431">
        <v>0</v>
      </c>
    </row>
    <row s="1636" customFormat="1" customHeight="1" ht="15" hidden="1">
      <c r="A58" s="787"/>
      <c r="B58" s="414"/>
      <c r="C58" s="531"/>
      <c r="D58" s="532"/>
      <c r="E58" s="392" t="s">
        <v>67</v>
      </c>
      <c r="F58" s="1049" t="s">
        <v>61</v>
      </c>
      <c r="G58" s="533"/>
      <c r="I58" s="535"/>
      <c r="J58" s="879"/>
      <c r="P58" s="536"/>
      <c r="Q58" s="534">
        <v>0</v>
      </c>
    </row>
    <row s="1636" customFormat="1" customHeight="1" ht="75" hidden="1">
      <c r="A59" s="787"/>
      <c r="B59" s="414"/>
      <c r="C59" s="531"/>
      <c r="D59" s="532"/>
      <c r="E59" s="392" t="str">
        <f>"Инвестиционная программа относится к деятельности, при осуществлении которой расчеты за товары (услуги) в сфере  "&amp;TEMPLATE_SPHERE_RUS&amp;" осуществляются по регулируемым ценам (тарифам) (за исключением деятельности по подключению (технологическому присоединению) к системе  "&amp;TEMPLATE_SPHERE_RUS&amp;")"</f>
        <v>Инвестиционная программа относится к деятельности, при осуществлении которой расчеты за товары (услуги) в сфере  теплоснабжения осуществляются по регулируемым ценам (тарифам) (за исключением деятельности по подключению (технологическому присоединению) к системе  теплоснабжения)</v>
      </c>
      <c r="F59" s="1190"/>
      <c r="G59" s="533"/>
      <c r="I59" s="535"/>
      <c r="J59" s="879"/>
      <c r="P59" s="536"/>
      <c r="Q59" s="534">
        <v>0</v>
      </c>
    </row>
    <row s="1636" customFormat="1" customHeight="1" ht="15" hidden="1">
      <c r="A60" s="787"/>
      <c r="B60" s="414"/>
      <c r="C60" s="531"/>
      <c r="D60" s="532"/>
      <c r="E60" s="1166" t="s">
        <v>68</v>
      </c>
      <c r="F60" s="1152"/>
      <c r="G60" s="533"/>
      <c r="I60" s="535"/>
      <c r="J60" s="879"/>
      <c r="P60" s="536"/>
      <c r="Q60" s="534">
        <v>0</v>
      </c>
    </row>
    <row s="1613" customFormat="1" customHeight="1" ht="6" hidden="1">
      <c r="A61" s="786"/>
      <c r="B61" s="427"/>
      <c r="C61" s="428"/>
      <c r="D61" s="429"/>
      <c r="E61" s="430"/>
      <c r="F61" s="1054"/>
      <c r="G61" s="74"/>
      <c r="H61" s="410"/>
      <c r="I61" s="412"/>
      <c r="J61" s="877"/>
      <c r="Q61" s="431">
        <v>0</v>
      </c>
    </row>
    <row s="1636" customFormat="1" customHeight="1" ht="33.75" hidden="1">
      <c r="A62" s="786"/>
      <c r="B62" s="99"/>
      <c r="C62" s="409"/>
      <c r="D62" s="411"/>
      <c r="E62" s="1166" t="s">
        <v>69</v>
      </c>
      <c r="F62" s="1672" t="s">
        <v>61</v>
      </c>
      <c r="G62" s="74"/>
      <c r="H62" s="774" t="s">
        <v>22</v>
      </c>
      <c r="I62" s="412"/>
      <c r="J62" s="877"/>
      <c r="Q62" s="410">
        <v>0</v>
      </c>
    </row>
    <row s="1613" customFormat="1" customHeight="1" ht="6.3">
      <c r="A63" s="786"/>
      <c r="B63" s="233"/>
      <c r="C63" s="234"/>
      <c r="D63" s="240"/>
      <c r="E63" s="238"/>
      <c r="F63" s="241"/>
      <c r="G63" s="78"/>
      <c r="H63" s="410"/>
      <c r="I63" s="412"/>
      <c r="J63" s="875"/>
      <c r="Q63" s="237">
        <v>6</v>
      </c>
    </row>
    <row customHeight="1" ht="21">
      <c r="A64" s="788"/>
      <c r="B64" s="100"/>
      <c r="D64" s="83"/>
      <c r="E64" s="392" t="s">
        <v>70</v>
      </c>
      <c r="F64" s="217" t="s">
        <v>71</v>
      </c>
      <c r="G64" s="78"/>
      <c r="Q64" s="75">
        <v>20</v>
      </c>
    </row>
    <row customHeight="1" ht="21">
      <c r="A65" s="788"/>
      <c r="B65" s="100"/>
      <c r="D65" s="83"/>
      <c r="E65" s="392" t="s">
        <v>72</v>
      </c>
      <c r="F65" s="217" t="s">
        <v>73</v>
      </c>
      <c r="G65" s="78"/>
      <c r="Q65" s="75">
        <v>20</v>
      </c>
    </row>
    <row customHeight="1" ht="36.75">
      <c r="D66" s="76"/>
      <c r="E66" s="394" t="s">
        <v>74</v>
      </c>
      <c r="F66" s="1055"/>
      <c r="G66" s="74"/>
      <c r="Q66" s="75">
        <v>35</v>
      </c>
    </row>
    <row customHeight="1" ht="21">
      <c r="A67" s="788"/>
      <c r="D67" s="411"/>
      <c r="E67" s="392" t="s">
        <v>75</v>
      </c>
      <c r="F67" s="272" t="s">
        <v>76</v>
      </c>
      <c r="G67" s="78"/>
      <c r="Q67" s="75">
        <v>20</v>
      </c>
    </row>
    <row customHeight="1" ht="21">
      <c r="A68" s="788"/>
      <c r="B68" s="100"/>
      <c r="D68" s="83"/>
      <c r="E68" s="392" t="s">
        <v>77</v>
      </c>
      <c r="F68" s="272" t="s">
        <v>78</v>
      </c>
      <c r="G68" s="78"/>
      <c r="Q68" s="75">
        <v>20</v>
      </c>
    </row>
    <row customHeight="1" ht="21">
      <c r="A69" s="788"/>
      <c r="B69" s="100"/>
      <c r="D69" s="83"/>
      <c r="E69" s="392" t="s">
        <v>79</v>
      </c>
      <c r="F69" s="272" t="s">
        <v>80</v>
      </c>
      <c r="G69" s="78"/>
      <c r="Q69" s="75">
        <v>20</v>
      </c>
    </row>
    <row customHeight="1" ht="21">
      <c r="D70" s="411"/>
      <c r="E70" s="392" t="s">
        <v>81</v>
      </c>
      <c r="F70" s="2632" t="s">
        <v>82</v>
      </c>
      <c r="G70" s="74"/>
      <c r="Q70" s="75">
        <v>20</v>
      </c>
    </row>
    <row customHeight="1" ht="21">
      <c r="A71" s="788"/>
      <c r="D71" s="74"/>
      <c r="F71" s="134"/>
      <c r="G71" s="78"/>
      <c r="Q71" s="75">
        <v>20</v>
      </c>
    </row>
    <row customHeight="1" ht="21">
      <c r="A72" s="788"/>
      <c r="B72" s="100"/>
      <c r="D72" s="83"/>
      <c r="E72" s="82"/>
      <c r="F72" s="1034" t="s">
        <v>13</v>
      </c>
      <c r="G72" s="78"/>
      <c r="Q72" s="75">
        <v>20</v>
      </c>
    </row>
    <row customHeight="1" ht="21">
      <c r="A73" s="788"/>
      <c r="B73" s="100"/>
      <c r="D73" s="83"/>
      <c r="E73" s="82"/>
      <c r="F73" s="135"/>
      <c r="G73" s="78"/>
      <c r="Q73" s="75">
        <v>20</v>
      </c>
    </row>
    <row customHeight="1" ht="21">
      <c r="A74" s="788"/>
      <c r="B74" s="100"/>
      <c r="D74" s="83"/>
      <c r="E74" s="87"/>
      <c r="F74" s="135"/>
      <c r="G74" s="78"/>
      <c r="Q74" s="75">
        <v>20</v>
      </c>
    </row>
    <row customHeight="1" ht="21">
      <c r="A75" s="788"/>
      <c r="B75" s="100"/>
      <c r="D75" s="83"/>
      <c r="E75" s="82"/>
      <c r="F75" s="135"/>
      <c r="G75" s="78"/>
      <c r="Q75" s="75">
        <v>20</v>
      </c>
    </row>
    <row customHeight="1" ht="11.549999999999999">
      <c r="Q76" s="75">
        <v>11</v>
      </c>
    </row>
    <row customHeight="1" ht="11.549999999999999">
      <c r="Q77" s="75">
        <v>11</v>
      </c>
    </row>
    <row customHeight="1" ht="11.549999999999999">
      <c r="E78" s="391"/>
      <c r="F78" s="391"/>
      <c r="G78" s="391"/>
      <c r="H78" s="391"/>
      <c r="I78" s="391"/>
      <c r="Q78" s="75">
        <v>11</v>
      </c>
    </row>
    <row customHeight="1" ht="11.25" hidden="1">
      <c r="A79" s="785" t="s">
        <v>83</v>
      </c>
      <c r="B79" s="99">
        <v>0</v>
      </c>
      <c r="C79" s="73">
        <v>3</v>
      </c>
      <c r="D79" s="75">
        <v>1</v>
      </c>
      <c r="E79" s="75">
        <v>55</v>
      </c>
      <c r="F79" s="75">
        <v>54</v>
      </c>
      <c r="G79" s="772">
        <v>1</v>
      </c>
      <c r="H79" s="410">
        <v>0</v>
      </c>
      <c r="I79" s="412">
        <v>59</v>
      </c>
      <c r="J79" s="877">
        <v>0</v>
      </c>
      <c r="K79" s="75">
        <v>8</v>
      </c>
      <c r="L79" s="75">
        <v>77</v>
      </c>
      <c r="M79" s="75">
        <v>8</v>
      </c>
      <c r="N79" s="75">
        <v>8</v>
      </c>
      <c r="O79" s="75">
        <v>8</v>
      </c>
      <c r="P79" s="75">
        <v>8</v>
      </c>
      <c r="Q79" s="75">
        <v>11</v>
      </c>
    </row>
  </sheetData>
  <sheetProtection formatColumns="0" formatRows="0" sort="0" autoFilter="0" insertRows="0" insertColumns="1" deleteRows="0" deleteColumns="0"/>
  <mergeCells count="3">
    <mergeCell ref="E5:F5"/>
    <mergeCell ref="J18:J19"/>
    <mergeCell ref="A11:A12"/>
  </mergeCells>
  <dataValidations count="13">
    <dataValidation type="list" allowBlank="1" showInputMessage="1" showErrorMessage="1" errorTitle="Ошибка" error="Выберите значение из списка" prompt="Выберите значение из списка:_x000A_ОСН - Общая система налогообложения_x000A_УСН - Упрощённая система налогообложения_x000A_ЕСХН - Единый сельскохозяйственный налог_x000A_ПСН - Патентная система налогообложения_x000A_НПД - Налог на профессиональный доход" sqref="F37">
      <formula1>kind_of_NDS</formula1>
    </dataValidation>
    <dataValidation allowBlank="1" showInputMessage="1" showErrorMessage="1" prompt="Выбор организации двойным щелчком левой клавиши мыши" sqref="F31"/>
    <dataValidation type="list" allowBlank="1" showInputMessage="1" showErrorMessage="1" errorTitle="Ошибка" error="Выберите значение из списка" prompt="Выберите значение из списка" sqref="F9">
      <formula1>ROIV_INFO_LIST</formula1>
    </dataValidation>
    <dataValidation type="list" allowBlank="1" showInputMessage="1" showErrorMessage="1" errorTitle="Ошибка" error="Выберите значение из списка" prompt="Выберите значение из списка" sqref="F60">
      <formula1>TITLE_IP_DETAILED_METHOD_LIST</formula1>
    </dataValidation>
    <dataValidation allowBlank="1" showInputMessage="1" showErrorMessage="1" prompt="Выберите значение из календаря (иконка справа от выбранной ячейки), либо введите дату непосредственно в ячейку в формате - 'ДД.ММ.ГГГГ'" sqref="F54"/>
    <dataValidation type="list" allowBlank="1" showInputMessage="1" showErrorMessage="1" errorTitle="Ошибка" error="Выберите значение из списка" prompt="Выберите значение из списка" sqref="F15">
      <formula1>QUARTER</formula1>
    </dataValidation>
    <dataValidation type="list" allowBlank="1" showInputMessage="1" showErrorMessage="1" errorTitle="Ошибка" error="Выберите значение из списка" prompt="Выберите значение из списка" sqref="F14">
      <formula1>year_list</formula1>
    </dataValidation>
    <dataValidation type="list" allowBlank="1" showInputMessage="1" showErrorMessage="1" errorTitle="Ошибка" error="Выберите значение из списка" prompt="Выберите значение из списка" sqref="F36">
      <formula1>kind_of_org_type</formula1>
    </dataValidation>
    <dataValidation allowBlank="1" showInputMessage="1" showErrorMessage="1" prompt="Для выбора выполните двойной щелчок левой клавиши мыши по соответствующей ячейке." sqref="F49 F53 F56 F58 F51 F39:F41 F43 F45:F47 F62 F10"/>
    <dataValidation type="list" allowBlank="1" showInputMessage="1" showErrorMessage="1" errorTitle="Ошибка" error="Выберите значение из списка" prompt="Выберите значение из списка" sqref="F17">
      <formula1>kind_of_data_type</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F26 F21 F18:F19 F11:F13"/>
    <dataValidation type="list" allowBlank="1" showInputMessage="1" showErrorMessage="1" errorTitle="Ошибка" error="Выберите значение из списка" prompt="Выберите значение из списка" sqref="F61 F38">
      <formula1>kind_of_NDS</formula1>
    </dataValidation>
    <dataValidation type="textLength" operator="lessThanOrEqual" allowBlank="1" showInputMessage="1" showErrorMessage="1" errorTitle="Ошибка" error="Допускается ввод не более 900 символов!" sqref="F72:F75 F64:F65 F67:F70 F22:F24 F27:F29 F32">
      <formula1>900</formula1>
    </dataValidation>
  </dataValidations>
  <hyperlinks>
    <hyperlink ref="H11" location="Титульный!H9" display="Как заполнить?" tooltip="Помощь по работе с полями отчётной формы" xr:uid="{40B721A5-CB98-53E8-55C8-5E8CA3787F88}"/>
    <hyperlink ref="H17" location="Титульный!H9" display="Как заполнить?" tooltip="Помощь по работе с полями отчётной формы" xr:uid="{F3D75828-4488-DADE-FF98-3EEDBA08C808}"/>
    <hyperlink ref="H39" location="Титульный!H9" display="Как заполнить?" tooltip="Помощь по работе с полями отчётной формы" xr:uid="{EA4CBD79-B8C8-4203-8583-973D0F440F59}"/>
    <hyperlink ref="H62" location="Титульный!H9" display="Как заполнить?" tooltip="Помощь по работе с полями отчётной формы" xr:uid="{CC989BA8-6309-EC08-9AC8-53A4DFC7B19A}"/>
    <hyperlink ref="F70" r:id="rId4" xr:uid="{C02495E8-DB6E-4918-0338-F2D107E091E7}"/>
  </hyperlinks>
  <pageMargins left="0.75" right="0.75" top="1.00" bottom="1.00" header="0.50" footer="0.50"/>
  <pageSetup paperSize="8" pageOrder="downThenOver" orientation="portrait"/>
  <headerFooter>
    <oddHeader>&amp;L&amp;C&amp;R</oddHeader>
    <oddFooter>&amp;L&amp;C&amp;R</oddFooter>
    <evenHeader>&amp;L&amp;C&amp;R</evenHeader>
    <evenFooter>&amp;L&amp;C&amp;R</evenFooter>
  </headerFooter>
  <drawing r:id="rId3"/>
  <legacyDrawing r:id="rId2"/>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2D8E4088-FF78-B138-880C-BFAB83F16E08}" mc:Ignorable="x14ac xr xr2 xr3">
  <sheetPr>
    <tabColor theme="6" tint="0.4"/>
  </sheetPr>
  <dimension ref="A1:BA70"/>
  <sheetViews>
    <sheetView showGridLines="0" zoomScale="90" workbookViewId="0">
      <pane xSplit="27" ySplit="44" topLeftCell="AB45" activePane="bottomRight" state="frozen"/>
      <selection pane="bottomLeft" activeCell="A45" sqref="A45"/>
      <selection pane="topRight" activeCell="AB1" sqref="AB1"/>
      <selection pane="bottomRight" activeCell="A1" sqref="A1"/>
    </sheetView>
  </sheetViews>
  <sheetFormatPr defaultColWidth="10.57421875" customHeight="1" defaultRowHeight="14.25"/>
  <cols>
    <col min="1" max="1" style="1367" width="10.57421875" hidden="1"/>
    <col min="2" max="2" style="1367" width="11.00390625" hidden="1" customWidth="1"/>
    <col min="3" max="3" style="1367" width="10.57421875" hidden="1"/>
    <col min="4" max="4" style="1367" width="11.8515625" hidden="1" customWidth="1"/>
    <col min="5" max="5" style="1367" width="10.00390625" hidden="1" customWidth="1"/>
    <col min="6" max="6" style="1367" width="8.7109375" hidden="1" customWidth="1"/>
    <col min="7" max="7" style="1367" width="7.57421875" hidden="1" customWidth="1"/>
    <col min="8" max="8" style="1367" width="11.421875" hidden="1" customWidth="1"/>
    <col min="9" max="9" style="1367" width="12.00390625" hidden="1" customWidth="1"/>
    <col min="10" max="10" style="1367" width="9.8515625" hidden="1" customWidth="1"/>
    <col min="11" max="11" style="1367" width="11.421875" hidden="1" customWidth="1"/>
    <col min="12" max="12" style="2608" width="19.140625" hidden="1" customWidth="1"/>
    <col min="13" max="14" style="1777" width="12.28125" hidden="1" customWidth="1"/>
    <col min="15" max="15" style="1777" width="23.421875" hidden="1" customWidth="1"/>
    <col min="16" max="16" style="1777" width="3.00390625" customWidth="1"/>
    <col min="17" max="17" style="1372" width="3.00390625" customWidth="1"/>
    <col min="18" max="18" style="345" width="3.00390625" customWidth="1"/>
    <col min="19" max="19" style="2408" width="12.00390625" customWidth="1"/>
    <col min="20" max="20" style="1636" width="31.00390625" customWidth="1"/>
    <col min="21" max="21" style="1636" width="0.140625" customWidth="1"/>
    <col min="22" max="23" style="1636" width="21.7109375" hidden="1" customWidth="1"/>
    <col min="24" max="24" style="1636" width="11.7109375" hidden="1" customWidth="1"/>
    <col min="25" max="25" style="1636" width="3.7109375" hidden="1" customWidth="1"/>
    <col min="26" max="26" style="1636" width="11.7109375" hidden="1" customWidth="1"/>
    <col min="27" max="27" style="1636" width="8.57421875" hidden="1" customWidth="1"/>
    <col min="28" max="28" style="1636" width="5.421875" customWidth="1"/>
    <col min="29" max="30" style="1636" width="3.00390625" customWidth="1"/>
    <col min="31" max="31" style="1636" width="24.00390625" customWidth="1"/>
    <col min="32" max="32" style="1636" width="3.7109375" customWidth="1"/>
    <col min="33" max="34" style="1636" width="3.00390625" customWidth="1"/>
    <col min="35" max="35" style="1636" width="24.00390625" customWidth="1"/>
    <col min="36" max="36" style="1636" width="3.7109375" customWidth="1"/>
    <col min="37" max="38" style="1636" width="3.00390625" customWidth="1"/>
    <col min="39" max="39" style="1636" width="18.00390625" customWidth="1"/>
    <col min="40" max="41" style="1636" width="21.00390625" customWidth="1"/>
    <col min="42" max="42" style="1636" width="11.00390625" customWidth="1"/>
    <col min="43" max="43" style="1636" width="3.7109375" customWidth="1"/>
    <col min="44" max="44" style="1636" width="11.00390625" customWidth="1"/>
    <col min="45" max="45" style="1636" width="8.57421875" hidden="1" customWidth="1"/>
    <col min="46" max="46" style="1636" width="4.00390625" customWidth="1"/>
    <col min="47" max="47" style="1636" width="115.00390625" customWidth="1"/>
    <col min="48" max="52" style="1643" width="10.00390625" customWidth="1"/>
    <col min="53" max="53" style="1636" width="10.57421875" hidden="1"/>
  </cols>
  <sheetData>
    <row customHeight="1" ht="22.5" hidden="1">
      <c r="W1" s="328"/>
      <c r="X1" s="328"/>
      <c r="AO1" s="328"/>
      <c r="AP1" s="328"/>
      <c r="BA1" s="1156" t="s">
        <v>14</v>
      </c>
    </row>
    <row customHeight="1" ht="21" hidden="1">
      <c r="A2" s="1364"/>
      <c r="B2" s="1364"/>
      <c r="C2" s="1364"/>
      <c r="D2" s="1364"/>
      <c r="E2" s="2259">
        <v>1</v>
      </c>
      <c r="F2" s="1364"/>
      <c r="G2" s="1364"/>
      <c r="H2" s="1364"/>
      <c r="I2" s="1364"/>
      <c r="J2" s="1364"/>
      <c r="K2" s="1364"/>
      <c r="L2" s="1365"/>
      <c r="M2" s="1366"/>
      <c r="N2" s="1366"/>
      <c r="O2" s="1366"/>
      <c r="P2" s="1410"/>
      <c r="Q2" s="874"/>
      <c r="R2" s="356"/>
      <c r="S2" s="1337">
        <f>INDEX(PT_DIFFERENTIATION_NUM_NTAR,MATCH(A2,PT_DIFFERENTIATION_NTAR_ID,0))</f>
      </c>
      <c r="T2" s="299" t="s">
        <v>131</v>
      </c>
      <c r="U2" s="301"/>
      <c r="V2" s="2244"/>
      <c r="W2" s="2244"/>
      <c r="X2" s="2244"/>
      <c r="Y2" s="2244"/>
      <c r="Z2" s="2244"/>
      <c r="AA2" s="2245"/>
      <c r="AB2" s="2243">
        <f>INDEX(PT_DIFFERENTIATION_NTAR,MATCH(A2,PT_DIFFERENTIATION_NTAR_ID,0))</f>
      </c>
      <c r="AC2" s="2244"/>
      <c r="AD2" s="2244"/>
      <c r="AE2" s="2244"/>
      <c r="AF2" s="2244"/>
      <c r="AG2" s="2244"/>
      <c r="AH2" s="2244"/>
      <c r="AI2" s="2244"/>
      <c r="AJ2" s="2244"/>
      <c r="AK2" s="2244"/>
      <c r="AL2" s="2244"/>
      <c r="AM2" s="2244"/>
      <c r="AN2" s="2244"/>
      <c r="AO2" s="2244"/>
      <c r="AP2" s="2244"/>
      <c r="AQ2" s="2244"/>
      <c r="AR2" s="2244"/>
      <c r="AS2" s="2244"/>
      <c r="AT2" s="2245"/>
      <c r="AU2" s="1259" t="s">
        <v>413</v>
      </c>
      <c r="AW2" s="501"/>
      <c r="AX2" s="501" t="str">
        <f>IF(T2="","",T2)</f>
        <v>Наименование тарифа</v>
      </c>
      <c r="AY2" s="501"/>
      <c r="AZ2" s="501"/>
      <c r="BA2" s="1156">
        <v>0</v>
      </c>
    </row>
    <row customHeight="1" ht="21" hidden="1">
      <c r="A3" s="1364"/>
      <c r="B3" s="1364"/>
      <c r="C3" s="1364"/>
      <c r="D3" s="1364"/>
      <c r="E3" s="2260"/>
      <c r="F3" s="2259">
        <v>1</v>
      </c>
      <c r="G3" s="1364"/>
      <c r="H3" s="1364"/>
      <c r="I3" s="1364"/>
      <c r="J3" s="1364"/>
      <c r="K3" s="1364"/>
      <c r="L3" s="1365"/>
      <c r="M3" s="1366"/>
      <c r="N3" s="1366"/>
      <c r="O3" s="1366"/>
      <c r="P3" s="1411"/>
      <c r="Q3" s="1412"/>
      <c r="R3" s="354"/>
      <c r="S3" s="1337">
        <f>INDEX(PT_DIFFERENTIATION_NUM_TER,MATCH(B3,PT_DIFFERENTIATION_TER_ID,0))</f>
      </c>
      <c r="T3" s="309" t="s">
        <v>414</v>
      </c>
      <c r="U3" s="301"/>
      <c r="V3" s="2244"/>
      <c r="W3" s="2244"/>
      <c r="X3" s="2244"/>
      <c r="Y3" s="2244"/>
      <c r="Z3" s="2244"/>
      <c r="AA3" s="2245"/>
      <c r="AB3" s="2243">
        <f>INDEX(PT_DIFFERENTIATION_TER,MATCH(B3,PT_DIFFERENTIATION_TER_ID,0))</f>
      </c>
      <c r="AC3" s="2244"/>
      <c r="AD3" s="2244"/>
      <c r="AE3" s="2244"/>
      <c r="AF3" s="2244"/>
      <c r="AG3" s="2244"/>
      <c r="AH3" s="2244"/>
      <c r="AI3" s="2244"/>
      <c r="AJ3" s="2244"/>
      <c r="AK3" s="2244"/>
      <c r="AL3" s="2244"/>
      <c r="AM3" s="2244"/>
      <c r="AN3" s="2244"/>
      <c r="AO3" s="2244"/>
      <c r="AP3" s="2244"/>
      <c r="AQ3" s="2244"/>
      <c r="AR3" s="2244"/>
      <c r="AS3" s="2244"/>
      <c r="AT3" s="2245"/>
      <c r="AU3" s="1259" t="s">
        <v>415</v>
      </c>
      <c r="AW3" s="501"/>
      <c r="AX3" s="501" t="str">
        <f>IF(T3="","",T3)</f>
        <v>Территория действия тарифа</v>
      </c>
      <c r="AY3" s="501"/>
      <c r="AZ3" s="501"/>
      <c r="BA3" s="1156">
        <v>0</v>
      </c>
    </row>
    <row customHeight="1" ht="22.5" hidden="1">
      <c r="A4" s="1364"/>
      <c r="B4" s="1364"/>
      <c r="C4" s="1364"/>
      <c r="D4" s="1364"/>
      <c r="E4" s="2260"/>
      <c r="F4" s="2260"/>
      <c r="G4" s="2259">
        <v>1</v>
      </c>
      <c r="H4" s="1364"/>
      <c r="I4" s="1364"/>
      <c r="J4" s="1364"/>
      <c r="K4" s="1364"/>
      <c r="L4" s="1365"/>
      <c r="M4" s="1366"/>
      <c r="N4" s="1366"/>
      <c r="O4" s="1366"/>
      <c r="P4" s="1413"/>
      <c r="Q4" s="1412"/>
      <c r="R4" s="354"/>
      <c r="S4" s="1337">
        <f>INDEX(PT_DIFFERENTIATION_NUM_CS,MATCH(C4,PT_DIFFERENTIATION_CS_ID,0))</f>
      </c>
      <c r="T4" s="310" t="s">
        <v>416</v>
      </c>
      <c r="U4" s="301"/>
      <c r="V4" s="2244"/>
      <c r="W4" s="2244"/>
      <c r="X4" s="2244"/>
      <c r="Y4" s="2244"/>
      <c r="Z4" s="2244"/>
      <c r="AA4" s="2245"/>
      <c r="AB4" s="2243">
        <f>INDEX(PT_DIFFERENTIATION_CS,MATCH(C4,PT_DIFFERENTIATION_CS_ID,0))</f>
      </c>
      <c r="AC4" s="2244"/>
      <c r="AD4" s="2244"/>
      <c r="AE4" s="2244"/>
      <c r="AF4" s="2244"/>
      <c r="AG4" s="2244"/>
      <c r="AH4" s="2244"/>
      <c r="AI4" s="2244"/>
      <c r="AJ4" s="2244"/>
      <c r="AK4" s="2244"/>
      <c r="AL4" s="2244"/>
      <c r="AM4" s="2244"/>
      <c r="AN4" s="2244"/>
      <c r="AO4" s="2244"/>
      <c r="AP4" s="2244"/>
      <c r="AQ4" s="2244"/>
      <c r="AR4" s="2244"/>
      <c r="AS4" s="2244"/>
      <c r="AT4" s="2245"/>
      <c r="AU4" s="1259" t="s">
        <v>417</v>
      </c>
      <c r="AW4" s="501"/>
      <c r="AX4" s="501" t="str">
        <f>IF(T4="","",T4)</f>
        <v>Наименование системы теплоснабжения </v>
      </c>
      <c r="AY4" s="501"/>
      <c r="AZ4" s="501"/>
      <c r="BA4" s="1156">
        <v>0</v>
      </c>
    </row>
    <row customHeight="1" ht="21" hidden="1">
      <c r="A5" s="1364"/>
      <c r="B5" s="1364"/>
      <c r="C5" s="1364"/>
      <c r="D5" s="1364"/>
      <c r="E5" s="2260"/>
      <c r="F5" s="2260"/>
      <c r="G5" s="2260"/>
      <c r="H5" s="2259">
        <v>1</v>
      </c>
      <c r="I5" s="1364"/>
      <c r="J5" s="1364"/>
      <c r="K5" s="1364"/>
      <c r="L5" s="1365"/>
      <c r="M5" s="1366"/>
      <c r="N5" s="1366"/>
      <c r="O5" s="1366"/>
      <c r="P5" s="1413"/>
      <c r="Q5" s="1412"/>
      <c r="R5" s="354"/>
      <c r="S5" s="1337">
        <f>INDEX(PT_DIFFERENTIATION_NUM_IST_TE,MATCH(D5,PT_DIFFERENTIATION_IST_TE_ID,0))</f>
      </c>
      <c r="T5" s="311" t="s">
        <v>418</v>
      </c>
      <c r="U5" s="301"/>
      <c r="V5" s="2244"/>
      <c r="W5" s="2244"/>
      <c r="X5" s="2244"/>
      <c r="Y5" s="2244"/>
      <c r="Z5" s="2244"/>
      <c r="AA5" s="2245"/>
      <c r="AB5" s="2243">
        <f>INDEX(PT_DIFFERENTIATION_IST_TE,MATCH(D5,PT_DIFFERENTIATION_IST_TE_ID,0))</f>
      </c>
      <c r="AC5" s="2244"/>
      <c r="AD5" s="2244"/>
      <c r="AE5" s="2244"/>
      <c r="AF5" s="2244"/>
      <c r="AG5" s="2244"/>
      <c r="AH5" s="2244"/>
      <c r="AI5" s="2244"/>
      <c r="AJ5" s="2244"/>
      <c r="AK5" s="2244"/>
      <c r="AL5" s="2244"/>
      <c r="AM5" s="2244"/>
      <c r="AN5" s="2244"/>
      <c r="AO5" s="2244"/>
      <c r="AP5" s="2244"/>
      <c r="AQ5" s="2244"/>
      <c r="AR5" s="2244"/>
      <c r="AS5" s="2244"/>
      <c r="AT5" s="2245"/>
      <c r="AU5" s="1259" t="s">
        <v>419</v>
      </c>
      <c r="AW5" s="501"/>
      <c r="AX5" s="501" t="str">
        <f>IF(T5="","",T5)</f>
        <v>Источник тепловой энергии  </v>
      </c>
      <c r="AY5" s="501"/>
      <c r="AZ5" s="501"/>
      <c r="BA5" s="1156">
        <v>0</v>
      </c>
    </row>
    <row s="1643" customFormat="1" customHeight="1" ht="0.75" hidden="1">
      <c r="A6" s="1344"/>
      <c r="B6" s="1344"/>
      <c r="C6" s="1344"/>
      <c r="D6" s="1344"/>
      <c r="E6" s="2260"/>
      <c r="F6" s="2260"/>
      <c r="G6" s="2260"/>
      <c r="H6" s="2260"/>
      <c r="I6" s="2257">
        <f>S5&amp;".1"</f>
      </c>
      <c r="J6" s="1344"/>
      <c r="K6" s="1344"/>
      <c r="L6" s="1347" t="s">
        <v>420</v>
      </c>
      <c r="M6" s="511"/>
      <c r="N6" s="511"/>
      <c r="O6" s="511"/>
      <c r="P6" s="2258">
        <v>1</v>
      </c>
      <c r="Q6" s="1332"/>
      <c r="R6" s="357"/>
      <c r="S6" s="1043"/>
      <c r="T6" s="1384"/>
      <c r="U6" s="1385"/>
      <c r="V6" s="2298"/>
      <c r="W6" s="2298"/>
      <c r="X6" s="2298"/>
      <c r="Y6" s="2298"/>
      <c r="Z6" s="2298"/>
      <c r="AA6" s="2299"/>
      <c r="AB6" s="2297"/>
      <c r="AC6" s="2298"/>
      <c r="AD6" s="2298"/>
      <c r="AE6" s="2298"/>
      <c r="AF6" s="2298"/>
      <c r="AG6" s="2298"/>
      <c r="AH6" s="2298"/>
      <c r="AI6" s="2298"/>
      <c r="AJ6" s="2298"/>
      <c r="AK6" s="2298"/>
      <c r="AL6" s="2298"/>
      <c r="AM6" s="2298"/>
      <c r="AN6" s="2298"/>
      <c r="AO6" s="2298"/>
      <c r="AP6" s="2298"/>
      <c r="AQ6" s="2298"/>
      <c r="AR6" s="2298"/>
      <c r="AS6" s="2298"/>
      <c r="AT6" s="2299"/>
      <c r="AU6" s="1386"/>
      <c r="AW6" s="501"/>
      <c r="AX6" s="501" t="str">
        <f>IF(T6="","",T6)</f>
        <v/>
      </c>
      <c r="AY6" s="501"/>
      <c r="AZ6" s="501"/>
      <c r="BA6" s="512">
        <v>0</v>
      </c>
    </row>
    <row s="1643" customFormat="1" customHeight="1" ht="0.75" hidden="1">
      <c r="A7" s="1344"/>
      <c r="B7" s="1344"/>
      <c r="C7" s="1344"/>
      <c r="D7" s="1344"/>
      <c r="E7" s="2260"/>
      <c r="F7" s="2260"/>
      <c r="G7" s="2260"/>
      <c r="H7" s="2260"/>
      <c r="I7" s="2287"/>
      <c r="J7" s="2257">
        <f>S5&amp;".1"</f>
      </c>
      <c r="K7" s="1344"/>
      <c r="L7" s="1347"/>
      <c r="M7" s="511"/>
      <c r="N7" s="511"/>
      <c r="O7" s="511"/>
      <c r="P7" s="2258"/>
      <c r="Q7" s="2258">
        <v>1</v>
      </c>
      <c r="R7" s="358"/>
      <c r="S7" s="1043"/>
      <c r="T7" s="1400"/>
      <c r="U7" s="1385"/>
      <c r="V7" s="2298"/>
      <c r="W7" s="2298"/>
      <c r="X7" s="2298"/>
      <c r="Y7" s="2298"/>
      <c r="Z7" s="2298"/>
      <c r="AA7" s="2299"/>
      <c r="AB7" s="2297"/>
      <c r="AC7" s="2298"/>
      <c r="AD7" s="2298"/>
      <c r="AE7" s="2298"/>
      <c r="AF7" s="2298"/>
      <c r="AG7" s="2298"/>
      <c r="AH7" s="2298"/>
      <c r="AI7" s="2298"/>
      <c r="AJ7" s="2298"/>
      <c r="AK7" s="2298"/>
      <c r="AL7" s="2298"/>
      <c r="AM7" s="2298"/>
      <c r="AN7" s="2298"/>
      <c r="AO7" s="2298"/>
      <c r="AP7" s="2298"/>
      <c r="AQ7" s="2298"/>
      <c r="AR7" s="2298"/>
      <c r="AS7" s="2298"/>
      <c r="AT7" s="2299"/>
      <c r="AU7" s="1386"/>
      <c r="AW7" s="501"/>
      <c r="AX7" s="501" t="str">
        <f>IF(T7="","",T7)</f>
        <v/>
      </c>
      <c r="AY7" s="501"/>
      <c r="AZ7" s="501"/>
      <c r="BA7" s="512">
        <v>0</v>
      </c>
    </row>
    <row customHeight="1" ht="21" hidden="1">
      <c r="A8" s="1364"/>
      <c r="B8" s="1364"/>
      <c r="C8" s="1364"/>
      <c r="D8" s="1364"/>
      <c r="E8" s="2260"/>
      <c r="F8" s="2260"/>
      <c r="G8" s="2260"/>
      <c r="H8" s="2260"/>
      <c r="I8" s="2287"/>
      <c r="J8" s="2287"/>
      <c r="K8" s="2257">
        <f>S5&amp;".1"</f>
      </c>
      <c r="L8" s="1365"/>
      <c r="P8" s="2258"/>
      <c r="Q8" s="2258"/>
      <c r="R8" s="2348">
        <v>1</v>
      </c>
      <c r="S8" s="2342">
        <f>$K8</f>
      </c>
      <c r="T8" s="2345"/>
      <c r="U8" s="301"/>
      <c r="V8" s="752"/>
      <c r="W8" s="1258"/>
      <c r="X8" s="2266"/>
      <c r="Y8" s="2108" t="s">
        <v>61</v>
      </c>
      <c r="Z8" s="2266"/>
      <c r="AA8" s="2108" t="s">
        <v>61</v>
      </c>
      <c r="AB8" s="2108" t="s">
        <v>19</v>
      </c>
      <c r="AC8" s="2327"/>
      <c r="AD8" s="2206">
        <v>1</v>
      </c>
      <c r="AE8" s="2328"/>
      <c r="AF8" s="2108" t="s">
        <v>19</v>
      </c>
      <c r="AG8" s="2327"/>
      <c r="AH8" s="2206">
        <v>1</v>
      </c>
      <c r="AI8" s="2328"/>
      <c r="AJ8" s="2108" t="s">
        <v>19</v>
      </c>
      <c r="AK8" s="312"/>
      <c r="AL8" s="1338">
        <v>1</v>
      </c>
      <c r="AM8" s="1399"/>
      <c r="AN8" s="752"/>
      <c r="AO8" s="1258"/>
      <c r="AP8" s="1735"/>
      <c r="AQ8" s="1460" t="s">
        <v>61</v>
      </c>
      <c r="AR8" s="1735"/>
      <c r="AS8" s="1460" t="s">
        <v>61</v>
      </c>
      <c r="AT8" s="1349"/>
      <c r="AU8" s="2254" t="s">
        <v>483</v>
      </c>
      <c r="AV8" s="512">
        <f>STRCHECKDATE(V11:AT11)</f>
      </c>
      <c r="AW8" s="501"/>
      <c r="AX8" s="501" t="str">
        <f>IF(T8="","",T8)</f>
        <v/>
      </c>
      <c r="AY8" s="501"/>
      <c r="AZ8" s="501"/>
      <c r="BA8" s="1156">
        <v>0</v>
      </c>
    </row>
    <row customHeight="1" ht="11.25" hidden="1">
      <c r="A9" s="1364"/>
      <c r="B9" s="1364"/>
      <c r="C9" s="1364"/>
      <c r="D9" s="1364"/>
      <c r="E9" s="2260"/>
      <c r="F9" s="2260"/>
      <c r="G9" s="2260"/>
      <c r="H9" s="2260"/>
      <c r="I9" s="2287"/>
      <c r="J9" s="2287"/>
      <c r="K9" s="2257"/>
      <c r="L9" s="1365"/>
      <c r="P9" s="2258"/>
      <c r="Q9" s="2258"/>
      <c r="R9" s="2348"/>
      <c r="S9" s="2343"/>
      <c r="T9" s="2346"/>
      <c r="U9" s="301"/>
      <c r="V9" s="1394"/>
      <c r="W9" s="1398"/>
      <c r="X9" s="2266"/>
      <c r="Y9" s="2108"/>
      <c r="Z9" s="2266"/>
      <c r="AA9" s="2108"/>
      <c r="AB9" s="2108"/>
      <c r="AC9" s="2327"/>
      <c r="AD9" s="2206"/>
      <c r="AE9" s="2328"/>
      <c r="AF9" s="2108"/>
      <c r="AG9" s="2327"/>
      <c r="AH9" s="2206"/>
      <c r="AI9" s="2328"/>
      <c r="AJ9" s="2108"/>
      <c r="AK9" s="317"/>
      <c r="AL9" s="417"/>
      <c r="AM9" s="416" t="s">
        <v>484</v>
      </c>
      <c r="AN9" s="1394"/>
      <c r="AO9" s="1497"/>
      <c r="AP9" s="1394"/>
      <c r="AQ9" s="1394"/>
      <c r="AR9" s="1394"/>
      <c r="AS9" s="1394"/>
      <c r="AT9" s="1391"/>
      <c r="AU9" s="2255"/>
      <c r="AW9" s="501"/>
      <c r="AX9" s="501"/>
      <c r="AY9" s="501"/>
      <c r="AZ9" s="501"/>
      <c r="BA9" s="1156">
        <v>0</v>
      </c>
    </row>
    <row customHeight="1" ht="11.25" hidden="1">
      <c r="A10" s="1364"/>
      <c r="B10" s="1364"/>
      <c r="C10" s="1364"/>
      <c r="D10" s="1364"/>
      <c r="E10" s="2260"/>
      <c r="F10" s="2260"/>
      <c r="G10" s="2260"/>
      <c r="H10" s="2260"/>
      <c r="I10" s="2287"/>
      <c r="J10" s="2287"/>
      <c r="K10" s="2257"/>
      <c r="L10" s="1365"/>
      <c r="P10" s="2258"/>
      <c r="Q10" s="2258"/>
      <c r="R10" s="2348"/>
      <c r="S10" s="2343"/>
      <c r="T10" s="2346"/>
      <c r="U10" s="301"/>
      <c r="V10" s="1394"/>
      <c r="W10" s="1398"/>
      <c r="X10" s="2266"/>
      <c r="Y10" s="2108"/>
      <c r="Z10" s="2266"/>
      <c r="AA10" s="2108"/>
      <c r="AB10" s="2108"/>
      <c r="AC10" s="2327"/>
      <c r="AD10" s="2206"/>
      <c r="AE10" s="2328"/>
      <c r="AF10" s="2108"/>
      <c r="AG10" s="295"/>
      <c r="AH10" s="416"/>
      <c r="AI10" s="416" t="s">
        <v>485</v>
      </c>
      <c r="AJ10" s="1394"/>
      <c r="AK10" s="1394"/>
      <c r="AL10" s="1394"/>
      <c r="AM10" s="1394"/>
      <c r="AN10" s="1394"/>
      <c r="AO10" s="1497"/>
      <c r="AP10" s="1394"/>
      <c r="AQ10" s="1394"/>
      <c r="AR10" s="1394"/>
      <c r="AS10" s="1394"/>
      <c r="AT10" s="1391"/>
      <c r="AU10" s="2255"/>
      <c r="AW10" s="501"/>
      <c r="AX10" s="501"/>
      <c r="AY10" s="501"/>
      <c r="AZ10" s="501"/>
      <c r="BA10" s="1156">
        <v>0</v>
      </c>
    </row>
    <row customHeight="1" ht="11.25" hidden="1">
      <c r="A11" s="1364"/>
      <c r="B11" s="1364"/>
      <c r="C11" s="1364"/>
      <c r="D11" s="1364"/>
      <c r="E11" s="2260"/>
      <c r="F11" s="2260"/>
      <c r="G11" s="2260"/>
      <c r="H11" s="2260"/>
      <c r="I11" s="2287"/>
      <c r="J11" s="2287"/>
      <c r="K11" s="2257"/>
      <c r="L11" s="1365"/>
      <c r="P11" s="2258"/>
      <c r="Q11" s="2258"/>
      <c r="R11" s="2348"/>
      <c r="S11" s="2344"/>
      <c r="T11" s="2347"/>
      <c r="U11" s="301"/>
      <c r="V11" s="1394"/>
      <c r="W11" s="1397" t="str">
        <f>X8&amp;"-"&amp;Z8</f>
        <v>-</v>
      </c>
      <c r="X11" s="2267"/>
      <c r="Y11" s="2108"/>
      <c r="Z11" s="2267"/>
      <c r="AA11" s="2108"/>
      <c r="AB11" s="2108"/>
      <c r="AC11" s="313"/>
      <c r="AD11" s="315"/>
      <c r="AE11" s="416" t="s">
        <v>486</v>
      </c>
      <c r="AF11" s="1394"/>
      <c r="AG11" s="1394"/>
      <c r="AH11" s="1394"/>
      <c r="AI11" s="1394"/>
      <c r="AJ11" s="1394"/>
      <c r="AK11" s="1394"/>
      <c r="AL11" s="1394"/>
      <c r="AM11" s="1394"/>
      <c r="AN11" s="1394"/>
      <c r="AO11" s="1395" t="str">
        <f>AP8&amp;"-"&amp;AR8</f>
        <v>-</v>
      </c>
      <c r="AP11" s="1394"/>
      <c r="AQ11" s="1394"/>
      <c r="AR11" s="1394"/>
      <c r="AS11" s="1394"/>
      <c r="AT11" s="1350"/>
      <c r="AU11" s="2255"/>
      <c r="AW11" s="501"/>
      <c r="AX11" s="501" t="str">
        <f>IF(T11="","",T11)</f>
        <v/>
      </c>
      <c r="AY11" s="501"/>
      <c r="AZ11" s="501"/>
      <c r="BA11" s="1156">
        <v>0</v>
      </c>
    </row>
    <row customHeight="1" ht="11.25" hidden="1">
      <c r="A12" s="1364"/>
      <c r="B12" s="1364"/>
      <c r="C12" s="1364"/>
      <c r="D12" s="1364"/>
      <c r="E12" s="2260"/>
      <c r="F12" s="2260"/>
      <c r="G12" s="2260"/>
      <c r="H12" s="2260"/>
      <c r="I12" s="2287"/>
      <c r="J12" s="2257"/>
      <c r="K12" s="1364"/>
      <c r="L12" s="1365"/>
      <c r="P12" s="2258"/>
      <c r="Q12" s="2258"/>
      <c r="R12" s="357"/>
      <c r="S12" s="1279"/>
      <c r="T12" s="288" t="s">
        <v>487</v>
      </c>
      <c r="U12" s="368"/>
      <c r="V12" s="368"/>
      <c r="W12" s="368"/>
      <c r="X12" s="368"/>
      <c r="Y12" s="368"/>
      <c r="Z12" s="368"/>
      <c r="AA12" s="368"/>
      <c r="AB12" s="368"/>
      <c r="AC12" s="368"/>
      <c r="AD12" s="368"/>
      <c r="AE12" s="368"/>
      <c r="AF12" s="368"/>
      <c r="AG12" s="368"/>
      <c r="AH12" s="368"/>
      <c r="AI12" s="368"/>
      <c r="AJ12" s="368"/>
      <c r="AK12" s="368"/>
      <c r="AL12" s="368"/>
      <c r="AM12" s="368"/>
      <c r="AN12" s="368"/>
      <c r="AO12" s="368"/>
      <c r="AP12" s="368"/>
      <c r="AQ12" s="368"/>
      <c r="AR12" s="368"/>
      <c r="AS12" s="368"/>
      <c r="AT12" s="325"/>
      <c r="AU12" s="2256"/>
      <c r="AW12" s="501"/>
      <c r="AX12" s="501" t="str">
        <f>IF(T12="","",T12)</f>
        <v>Добавить строку</v>
      </c>
      <c r="AY12" s="501"/>
      <c r="AZ12" s="501"/>
      <c r="BA12" s="1156">
        <v>0</v>
      </c>
    </row>
    <row s="1643" customFormat="1" customHeight="1" ht="0.75" hidden="1">
      <c r="A13" s="1344"/>
      <c r="B13" s="1344"/>
      <c r="C13" s="1344"/>
      <c r="D13" s="1344"/>
      <c r="E13" s="2260"/>
      <c r="F13" s="2260"/>
      <c r="G13" s="2260"/>
      <c r="H13" s="2260"/>
      <c r="I13" s="2257"/>
      <c r="J13" s="1344"/>
      <c r="K13" s="1344"/>
      <c r="L13" s="1347"/>
      <c r="M13" s="511"/>
      <c r="N13" s="511"/>
      <c r="O13" s="511"/>
      <c r="P13" s="2258"/>
      <c r="Q13" s="1332"/>
      <c r="R13" s="357"/>
      <c r="S13" s="1387"/>
      <c r="T13" s="1388"/>
      <c r="U13" s="1389"/>
      <c r="V13" s="1389"/>
      <c r="W13" s="1389"/>
      <c r="X13" s="1389"/>
      <c r="Y13" s="1389"/>
      <c r="Z13" s="1389"/>
      <c r="AA13" s="1389"/>
      <c r="AB13" s="1389"/>
      <c r="AC13" s="1389"/>
      <c r="AD13" s="1389"/>
      <c r="AE13" s="1389"/>
      <c r="AF13" s="1389"/>
      <c r="AG13" s="1389"/>
      <c r="AH13" s="1389"/>
      <c r="AI13" s="1389"/>
      <c r="AJ13" s="1389"/>
      <c r="AK13" s="1389"/>
      <c r="AL13" s="1389"/>
      <c r="AM13" s="1389"/>
      <c r="AN13" s="1389"/>
      <c r="AO13" s="1389"/>
      <c r="AP13" s="1389"/>
      <c r="AQ13" s="1389"/>
      <c r="AR13" s="1389"/>
      <c r="AS13" s="1389"/>
      <c r="AT13" s="1389"/>
      <c r="AU13" s="1390"/>
      <c r="AW13" s="501"/>
      <c r="AX13" s="501" t="str">
        <f>IF(T13="","",T13)</f>
        <v/>
      </c>
      <c r="AY13" s="501"/>
      <c r="AZ13" s="501"/>
      <c r="BA13" s="512">
        <v>0</v>
      </c>
    </row>
    <row s="1643" customFormat="1" customHeight="1" ht="0.75" hidden="1">
      <c r="A14" s="1344"/>
      <c r="B14" s="1344"/>
      <c r="C14" s="1344"/>
      <c r="D14" s="1344"/>
      <c r="E14" s="2260"/>
      <c r="F14" s="2260"/>
      <c r="G14" s="2260"/>
      <c r="H14" s="2259"/>
      <c r="I14" s="1344"/>
      <c r="J14" s="1344"/>
      <c r="K14" s="1344"/>
      <c r="L14" s="1347"/>
      <c r="M14" s="1316"/>
      <c r="N14" s="1316"/>
      <c r="O14" s="519"/>
      <c r="P14" s="381"/>
      <c r="Q14" s="1345"/>
      <c r="R14" s="1402"/>
      <c r="S14" s="1387"/>
      <c r="T14" s="1388"/>
      <c r="U14" s="1389"/>
      <c r="V14" s="1389"/>
      <c r="W14" s="1389"/>
      <c r="X14" s="1389"/>
      <c r="Y14" s="1389"/>
      <c r="Z14" s="1389"/>
      <c r="AA14" s="1389"/>
      <c r="AB14" s="1389"/>
      <c r="AC14" s="1389"/>
      <c r="AD14" s="1389"/>
      <c r="AE14" s="1389"/>
      <c r="AF14" s="1389"/>
      <c r="AG14" s="1389"/>
      <c r="AH14" s="1389"/>
      <c r="AI14" s="1389"/>
      <c r="AJ14" s="1389"/>
      <c r="AK14" s="1389"/>
      <c r="AL14" s="1389"/>
      <c r="AM14" s="1389"/>
      <c r="AN14" s="1389"/>
      <c r="AO14" s="1389"/>
      <c r="AP14" s="1389"/>
      <c r="AQ14" s="1389"/>
      <c r="AR14" s="1389"/>
      <c r="AS14" s="1389"/>
      <c r="AT14" s="1389"/>
      <c r="AU14" s="1390"/>
      <c r="AW14" s="501"/>
      <c r="AX14" s="501" t="str">
        <f>IF(T14="","",T14)</f>
        <v/>
      </c>
      <c r="AY14" s="501"/>
      <c r="AZ14" s="501"/>
      <c r="BA14" s="512">
        <v>0</v>
      </c>
    </row>
    <row s="1643" customFormat="1" customHeight="1" ht="0.75" hidden="1">
      <c r="A15" s="1344"/>
      <c r="B15" s="1344"/>
      <c r="C15" s="1344"/>
      <c r="D15" s="1315"/>
      <c r="E15" s="2260"/>
      <c r="F15" s="2260"/>
      <c r="G15" s="2259"/>
      <c r="H15" s="1315"/>
      <c r="I15" s="1315"/>
      <c r="J15" s="1315"/>
      <c r="K15" s="1315"/>
      <c r="L15" s="1340"/>
      <c r="M15" s="1316"/>
      <c r="N15" s="1316"/>
      <c r="P15" s="1317"/>
      <c r="Q15" s="1318"/>
      <c r="R15" s="1317"/>
      <c r="S15" s="1323"/>
      <c r="T15" s="1326" t="s">
        <v>176</v>
      </c>
      <c r="U15" s="1325"/>
      <c r="V15" s="1325"/>
      <c r="W15" s="1325"/>
      <c r="X15" s="1325"/>
      <c r="Y15" s="1325"/>
      <c r="Z15" s="1325"/>
      <c r="AA15" s="1325"/>
      <c r="AB15" s="1325"/>
      <c r="AC15" s="1325"/>
      <c r="AD15" s="1325"/>
      <c r="AE15" s="1325"/>
      <c r="AF15" s="1325"/>
      <c r="AG15" s="1325"/>
      <c r="AH15" s="1325"/>
      <c r="AI15" s="1325"/>
      <c r="AJ15" s="1325"/>
      <c r="AK15" s="1325"/>
      <c r="AL15" s="1325"/>
      <c r="AM15" s="1325"/>
      <c r="AN15" s="1325"/>
      <c r="AO15" s="1325"/>
      <c r="AP15" s="1325"/>
      <c r="AQ15" s="1325"/>
      <c r="AR15" s="1325"/>
      <c r="AS15" s="1325"/>
      <c r="AT15" s="1325"/>
      <c r="AU15" s="1325"/>
      <c r="AW15" s="790"/>
      <c r="AX15" s="790" t="str">
        <f>IF(T15="","",T15)</f>
        <v>Добавить источник для дифференциации</v>
      </c>
      <c r="AY15" s="790"/>
      <c r="AZ15" s="790"/>
      <c r="BA15" s="519">
        <v>0</v>
      </c>
    </row>
    <row s="1643" customFormat="1" customHeight="1" ht="0.75" hidden="1">
      <c r="A16" s="1344"/>
      <c r="B16" s="1344"/>
      <c r="C16" s="1315"/>
      <c r="D16" s="1315"/>
      <c r="E16" s="2260"/>
      <c r="F16" s="2259"/>
      <c r="G16" s="1315"/>
      <c r="H16" s="1315"/>
      <c r="I16" s="1315"/>
      <c r="J16" s="1315"/>
      <c r="K16" s="1315"/>
      <c r="L16" s="1340"/>
      <c r="M16" s="1322"/>
      <c r="N16" s="1322"/>
      <c r="P16" s="1317"/>
      <c r="Q16" s="1318"/>
      <c r="R16" s="1317"/>
      <c r="S16" s="1323"/>
      <c r="T16" s="1326" t="s">
        <v>177</v>
      </c>
      <c r="U16" s="1325"/>
      <c r="V16" s="1325"/>
      <c r="W16" s="1325"/>
      <c r="X16" s="1325"/>
      <c r="Y16" s="1325"/>
      <c r="Z16" s="1325"/>
      <c r="AA16" s="1325"/>
      <c r="AB16" s="1325"/>
      <c r="AC16" s="1325"/>
      <c r="AD16" s="1325"/>
      <c r="AE16" s="1325"/>
      <c r="AF16" s="1325"/>
      <c r="AG16" s="1325"/>
      <c r="AH16" s="1325"/>
      <c r="AI16" s="1325"/>
      <c r="AJ16" s="1325"/>
      <c r="AK16" s="1325"/>
      <c r="AL16" s="1325"/>
      <c r="AM16" s="1325"/>
      <c r="AN16" s="1325"/>
      <c r="AO16" s="1325"/>
      <c r="AP16" s="1325"/>
      <c r="AQ16" s="1325"/>
      <c r="AR16" s="1325"/>
      <c r="AS16" s="1325"/>
      <c r="AT16" s="1325"/>
      <c r="AU16" s="1325"/>
      <c r="AW16" s="790"/>
      <c r="AX16" s="790" t="str">
        <f>IF(T16="","",T16)</f>
        <v>Добавить централизованную систему для дифференциации</v>
      </c>
      <c r="AY16" s="790"/>
      <c r="AZ16" s="790"/>
      <c r="BA16" s="519">
        <v>0</v>
      </c>
    </row>
    <row s="1643" customFormat="1" customHeight="1" ht="0.75" hidden="1">
      <c r="A17" s="1344"/>
      <c r="B17" s="1344"/>
      <c r="C17" s="1344"/>
      <c r="D17" s="1344"/>
      <c r="E17" s="2259"/>
      <c r="F17" s="1344"/>
      <c r="G17" s="1344"/>
      <c r="H17" s="1344"/>
      <c r="I17" s="1344"/>
      <c r="J17" s="1344"/>
      <c r="K17" s="1344"/>
      <c r="L17" s="1347"/>
      <c r="M17" s="1322"/>
      <c r="N17" s="1322"/>
      <c r="O17" s="519"/>
      <c r="P17" s="381"/>
      <c r="Q17" s="1345"/>
      <c r="R17" s="381"/>
      <c r="S17" s="1323"/>
      <c r="T17" s="1326" t="s">
        <v>178</v>
      </c>
      <c r="U17" s="1325"/>
      <c r="V17" s="1325"/>
      <c r="W17" s="1325"/>
      <c r="X17" s="1325"/>
      <c r="Y17" s="1325"/>
      <c r="Z17" s="1325"/>
      <c r="AA17" s="1325"/>
      <c r="AB17" s="1325"/>
      <c r="AC17" s="1325"/>
      <c r="AD17" s="1325"/>
      <c r="AE17" s="1325"/>
      <c r="AF17" s="1325"/>
      <c r="AG17" s="1325"/>
      <c r="AH17" s="1325"/>
      <c r="AI17" s="1325"/>
      <c r="AJ17" s="1325"/>
      <c r="AK17" s="1325"/>
      <c r="AL17" s="1325"/>
      <c r="AM17" s="1325"/>
      <c r="AN17" s="1325"/>
      <c r="AO17" s="1325"/>
      <c r="AP17" s="1325"/>
      <c r="AQ17" s="1325"/>
      <c r="AR17" s="1325"/>
      <c r="AS17" s="1325"/>
      <c r="AT17" s="1325"/>
      <c r="AU17" s="1325"/>
      <c r="AW17" s="501"/>
      <c r="AX17" s="501" t="str">
        <f>IF(T17="","",T17)</f>
        <v>Добавить территорию для дифференциации</v>
      </c>
      <c r="AY17" s="501"/>
      <c r="AZ17" s="501"/>
      <c r="BA17" s="512">
        <v>0</v>
      </c>
    </row>
    <row customHeight="1" ht="14.25" hidden="1">
      <c r="AA18" s="328"/>
      <c r="AS18" s="328"/>
      <c r="BA18" s="1156">
        <v>0</v>
      </c>
    </row>
    <row customHeight="1" ht="14.25" hidden="1">
      <c r="AB19" s="1325" t="s">
        <v>19</v>
      </c>
      <c r="AC19" s="1502"/>
      <c r="AD19" s="549">
        <v>1</v>
      </c>
      <c r="AE19" s="1503"/>
      <c r="AF19" s="1325" t="s">
        <v>19</v>
      </c>
      <c r="AG19" s="1502"/>
      <c r="AH19" s="549">
        <v>1</v>
      </c>
      <c r="AI19" s="1503"/>
      <c r="AJ19" s="1325" t="s">
        <v>19</v>
      </c>
      <c r="AK19" s="1504"/>
      <c r="AL19" s="549">
        <v>1</v>
      </c>
      <c r="AM19" s="1507"/>
      <c r="AN19" s="1404"/>
      <c r="AO19" s="1405"/>
      <c r="AP19" s="1737"/>
      <c r="AQ19" s="1461" t="s">
        <v>61</v>
      </c>
      <c r="AR19" s="1737"/>
      <c r="AS19" s="1461" t="s">
        <v>61</v>
      </c>
      <c r="BA19" s="1156">
        <v>0</v>
      </c>
    </row>
    <row customHeight="1" ht="14.25" hidden="1">
      <c r="AV20" s="497"/>
      <c r="AW20" s="497"/>
      <c r="AX20" s="497"/>
      <c r="AY20" s="497"/>
      <c r="AZ20" s="497"/>
      <c r="BA20" s="1156">
        <v>0</v>
      </c>
    </row>
    <row customHeight="1" ht="14.25" hidden="1">
      <c r="O21" s="1368" t="s">
        <v>431</v>
      </c>
      <c r="X21" s="1346"/>
      <c r="Z21" s="1346"/>
      <c r="AA21" s="328"/>
      <c r="AP21" s="1346"/>
      <c r="AR21" s="1346"/>
      <c r="AS21" s="328"/>
      <c r="AV21" s="497"/>
      <c r="AW21" s="497"/>
      <c r="AX21" s="497"/>
      <c r="AY21" s="497"/>
      <c r="AZ21" s="497"/>
      <c r="BA21" s="1156">
        <v>0</v>
      </c>
    </row>
    <row customHeight="1" ht="14.25" hidden="1">
      <c r="AA22" s="328"/>
      <c r="AS22" s="328"/>
      <c r="AV22" s="497"/>
      <c r="AW22" s="497"/>
      <c r="AX22" s="497"/>
      <c r="AY22" s="497"/>
      <c r="AZ22" s="497"/>
      <c r="BA22" s="1156">
        <v>0</v>
      </c>
    </row>
    <row s="1510" customFormat="1" customHeight="1" ht="14.25" hidden="1">
      <c r="M23" s="1509"/>
      <c r="N23" s="1509"/>
      <c r="O23" s="1510" t="s">
        <v>432</v>
      </c>
      <c r="P23" s="1509"/>
      <c r="Q23" s="1511"/>
      <c r="R23" s="1511"/>
      <c r="Y23" s="1508" t="s">
        <v>434</v>
      </c>
      <c r="AA23" s="1508" t="s">
        <v>435</v>
      </c>
      <c r="AB23" s="1508" t="s">
        <v>488</v>
      </c>
      <c r="AE23" s="1508" t="s">
        <v>489</v>
      </c>
      <c r="AF23" s="1508" t="s">
        <v>488</v>
      </c>
      <c r="AI23" s="1508" t="s">
        <v>490</v>
      </c>
      <c r="AJ23" s="1508" t="s">
        <v>488</v>
      </c>
      <c r="AM23" s="1508" t="s">
        <v>491</v>
      </c>
      <c r="AQ23" s="1508" t="s">
        <v>434</v>
      </c>
      <c r="AS23" s="1508" t="s">
        <v>435</v>
      </c>
      <c r="AV23" s="1512"/>
      <c r="AW23" s="1512"/>
      <c r="AX23" s="1512"/>
      <c r="AY23" s="1512"/>
      <c r="AZ23" s="1512"/>
      <c r="BA23" s="1508">
        <v>0</v>
      </c>
    </row>
    <row customHeight="1" ht="14.25" hidden="1">
      <c r="O24" s="1365"/>
      <c r="AV24" s="497"/>
      <c r="AW24" s="497"/>
      <c r="AX24" s="497"/>
      <c r="AY24" s="497"/>
      <c r="AZ24" s="497"/>
      <c r="BA24" s="1156">
        <v>0</v>
      </c>
    </row>
    <row customHeight="1" ht="14.25" hidden="1">
      <c r="O25" s="1365"/>
      <c r="AV25" s="497"/>
      <c r="AW25" s="497"/>
      <c r="AX25" s="497"/>
      <c r="AY25" s="497"/>
      <c r="AZ25" s="497"/>
      <c r="BA25" s="1156">
        <v>0</v>
      </c>
    </row>
    <row customHeight="1" ht="14.699999999999998">
      <c r="Q26" s="292"/>
      <c r="R26" s="377"/>
      <c r="S26" s="1276"/>
      <c r="T26" s="364"/>
      <c r="U26" s="364"/>
      <c r="V26" s="510"/>
      <c r="W26" s="510"/>
      <c r="X26" s="510"/>
      <c r="Y26" s="510"/>
      <c r="Z26" s="510"/>
      <c r="AA26" s="510"/>
      <c r="AB26" s="510"/>
      <c r="AC26" s="510"/>
      <c r="AD26" s="510"/>
      <c r="AE26" s="510"/>
      <c r="AF26" s="510"/>
      <c r="AG26" s="510"/>
      <c r="AH26" s="510"/>
      <c r="AI26" s="510"/>
      <c r="AJ26" s="510"/>
      <c r="AK26" s="510"/>
      <c r="AL26" s="510"/>
      <c r="AM26" s="510"/>
      <c r="AN26" s="510"/>
      <c r="AO26" s="510"/>
      <c r="AP26" s="510"/>
      <c r="AQ26" s="510"/>
      <c r="AR26" s="510"/>
      <c r="AS26" s="510"/>
      <c r="BA26" s="1156">
        <v>14</v>
      </c>
    </row>
    <row customHeight="1" ht="27.299999999999997">
      <c r="Q27" s="292"/>
      <c r="R27" s="377"/>
      <c r="S27" s="2249" t="str">
        <f>IF(TEMPLATE_GROUP="P",PT_P_FORM_HEAT_7_NAME_FORM,PT_R_FORM_HEAT_24_NAME_FORM)</f>
        <v>Форма 22. Информация о предложении регулируемой организации о расчетной величине платы за подключение (технологическое присоединение) к системе теплоснабжения, о расчетной величине платы за подключение (технологическое присоединение) к системе теплоснабжения, применяемой в случае, установленном частью 9 статьи 23 4 Федерального закона от 27 июля 2010 г. N 190-ФЗ "О теплоснабжении"</v>
      </c>
      <c r="T27" s="2249"/>
      <c r="U27" s="2249"/>
      <c r="V27" s="2249"/>
      <c r="W27" s="2249"/>
      <c r="X27" s="2249"/>
      <c r="Y27" s="2249"/>
      <c r="Z27" s="2249"/>
      <c r="AA27" s="2249"/>
      <c r="AB27" s="2249"/>
      <c r="AC27" s="2249"/>
      <c r="AD27" s="2249"/>
      <c r="AE27" s="2249"/>
      <c r="AF27" s="2249"/>
      <c r="AG27" s="2249"/>
      <c r="AH27" s="2249"/>
      <c r="AI27" s="2249"/>
      <c r="AJ27" s="2249"/>
      <c r="AK27" s="2249"/>
      <c r="AL27" s="2249"/>
      <c r="AM27" s="2249"/>
      <c r="AN27" s="2249"/>
      <c r="AO27" s="2249"/>
      <c r="AP27" s="2249"/>
      <c r="AQ27" s="2249"/>
      <c r="AR27" s="2249"/>
      <c r="AS27" s="1244"/>
      <c r="BA27" s="1156">
        <v>26</v>
      </c>
    </row>
    <row customHeight="1" ht="14.699999999999998">
      <c r="Q28" s="292"/>
      <c r="R28" s="377"/>
      <c r="S28" s="2250" t="str">
        <f>IF(org=0,"Не определено",org)</f>
        <v>ПАО "КГК"</v>
      </c>
      <c r="T28" s="2250"/>
      <c r="U28" s="2250"/>
      <c r="V28" s="2250"/>
      <c r="W28" s="2250"/>
      <c r="X28" s="2250"/>
      <c r="Y28" s="2250"/>
      <c r="Z28" s="2250"/>
      <c r="AA28" s="2250"/>
      <c r="AB28" s="2250"/>
      <c r="AC28" s="2250"/>
      <c r="AD28" s="2250"/>
      <c r="AE28" s="2250"/>
      <c r="AF28" s="2250"/>
      <c r="AG28" s="2250"/>
      <c r="AH28" s="2250"/>
      <c r="AI28" s="2250"/>
      <c r="AJ28" s="2250"/>
      <c r="AK28" s="2250"/>
      <c r="AL28" s="2250"/>
      <c r="AM28" s="2250"/>
      <c r="AN28" s="2250"/>
      <c r="AO28" s="2250"/>
      <c r="AP28" s="2250"/>
      <c r="AQ28" s="2250"/>
      <c r="AR28" s="2250"/>
      <c r="AS28" s="1244"/>
      <c r="BA28" s="1156">
        <v>14</v>
      </c>
    </row>
    <row customHeight="1" ht="14.25" hidden="1">
      <c r="Q29" s="292"/>
      <c r="R29" s="377"/>
      <c r="S29" s="1276"/>
      <c r="T29" s="364"/>
      <c r="U29" s="364"/>
      <c r="V29" s="323"/>
      <c r="W29" s="323"/>
      <c r="X29" s="323"/>
      <c r="Y29" s="323"/>
      <c r="Z29" s="323"/>
      <c r="AA29" s="323"/>
      <c r="AB29" s="323"/>
      <c r="AC29" s="323"/>
      <c r="AD29" s="323"/>
      <c r="AE29" s="323"/>
      <c r="AF29" s="323"/>
      <c r="AG29" s="323"/>
      <c r="AH29" s="323"/>
      <c r="AI29" s="323"/>
      <c r="AJ29" s="323"/>
      <c r="AK29" s="323"/>
      <c r="AL29" s="323"/>
      <c r="AM29" s="323"/>
      <c r="AN29" s="323"/>
      <c r="AO29" s="323"/>
      <c r="AP29" s="323"/>
      <c r="AQ29" s="323"/>
      <c r="AR29" s="323"/>
      <c r="AS29" s="323"/>
      <c r="AT29" s="510"/>
      <c r="BA29" s="1156">
        <v>0</v>
      </c>
    </row>
    <row s="1854" customFormat="1" customHeight="1" ht="25.5" hidden="1">
      <c r="A30" s="1369"/>
      <c r="B30" s="1369"/>
      <c r="C30" s="1369"/>
      <c r="D30" s="1369"/>
      <c r="E30" s="1369"/>
      <c r="F30" s="1369"/>
      <c r="G30" s="1369"/>
      <c r="H30" s="1369"/>
      <c r="I30" s="1369"/>
      <c r="J30" s="1369"/>
      <c r="K30" s="1369"/>
      <c r="L30" s="1370"/>
      <c r="M30" s="1369"/>
      <c r="N30" s="1369"/>
      <c r="O30" s="1369"/>
      <c r="P30" s="1369"/>
      <c r="Q30" s="1369"/>
      <c r="S30" s="2251" t="s">
        <v>42</v>
      </c>
      <c r="T30" s="2251"/>
      <c r="U30" s="1373"/>
      <c r="V30" s="2252" t="str">
        <f>IF(TITLE_NAME_OR_PR_CHANGE="",IF(TITLE_NAME_OR_PR="","",TITLE_NAME_OR_PR),TITLE_NAME_OR_PR_CHANGE)</f>
        <v/>
      </c>
      <c r="W30" s="2252"/>
      <c r="X30" s="2252"/>
      <c r="Y30" s="2252"/>
      <c r="Z30" s="2252"/>
      <c r="AA30" s="327"/>
      <c r="AB30" s="2252" t="str">
        <f>IF(TITLE_NAME_OR_PR_CHANGE="",IF(TITLE_NAME_OR_PR="","",TITLE_NAME_OR_PR),TITLE_NAME_OR_PR_CHANGE)</f>
        <v/>
      </c>
      <c r="AC30" s="2252"/>
      <c r="AD30" s="2252"/>
      <c r="AE30" s="2252"/>
      <c r="AF30" s="2252"/>
      <c r="AG30" s="2252"/>
      <c r="AH30" s="2252"/>
      <c r="AI30" s="2252"/>
      <c r="AJ30" s="2252"/>
      <c r="AK30" s="2252"/>
      <c r="AL30" s="2252"/>
      <c r="AM30" s="2252"/>
      <c r="AN30" s="2252"/>
      <c r="AO30" s="2252"/>
      <c r="AP30" s="2252"/>
      <c r="AQ30" s="2252"/>
      <c r="AR30" s="2252"/>
      <c r="AS30" s="327"/>
      <c r="AT30" s="327"/>
      <c r="AU30" s="281"/>
      <c r="AV30" s="369"/>
      <c r="AW30" s="369"/>
      <c r="AX30" s="369"/>
      <c r="AY30" s="369"/>
      <c r="AZ30" s="369"/>
      <c r="BA30" s="419">
        <v>0</v>
      </c>
    </row>
    <row s="1854" customFormat="1" customHeight="1" ht="18.75" hidden="1">
      <c r="A31" s="1369"/>
      <c r="B31" s="1369"/>
      <c r="C31" s="1369"/>
      <c r="D31" s="1369"/>
      <c r="E31" s="1369"/>
      <c r="F31" s="1369"/>
      <c r="G31" s="1369"/>
      <c r="H31" s="1369"/>
      <c r="I31" s="1369"/>
      <c r="J31" s="1369"/>
      <c r="K31" s="1369"/>
      <c r="L31" s="1370"/>
      <c r="M31" s="1369"/>
      <c r="N31" s="1369"/>
      <c r="O31" s="1369"/>
      <c r="P31" s="1369"/>
      <c r="Q31" s="1369"/>
      <c r="S31" s="2251" t="s">
        <v>437</v>
      </c>
      <c r="T31" s="2251"/>
      <c r="U31" s="1373"/>
      <c r="V31" s="2265" t="str">
        <f>IF(TITLE_DATE_PR_CHANGE="",IF(TITLE_DATE_PR="","",TITLE_DATE_PR),TITLE_DATE_PR_CHANGE)</f>
        <v>46142</v>
      </c>
      <c r="W31" s="2265"/>
      <c r="X31" s="2265"/>
      <c r="Y31" s="2265"/>
      <c r="Z31" s="2265"/>
      <c r="AA31" s="327"/>
      <c r="AB31" s="2265" t="str">
        <f>IF(TITLE_DATE_PR_CHANGE="",IF(TITLE_DATE_PR="","",TITLE_DATE_PR),TITLE_DATE_PR_CHANGE)</f>
        <v>46142</v>
      </c>
      <c r="AC31" s="2265"/>
      <c r="AD31" s="2265"/>
      <c r="AE31" s="2265"/>
      <c r="AF31" s="2265"/>
      <c r="AG31" s="2265"/>
      <c r="AH31" s="2265"/>
      <c r="AI31" s="2265"/>
      <c r="AJ31" s="2265"/>
      <c r="AK31" s="2265"/>
      <c r="AL31" s="2265"/>
      <c r="AM31" s="2265"/>
      <c r="AN31" s="2265"/>
      <c r="AO31" s="2265"/>
      <c r="AP31" s="2265"/>
      <c r="AQ31" s="2265"/>
      <c r="AR31" s="2265"/>
      <c r="AS31" s="327"/>
      <c r="AT31" s="327"/>
      <c r="AU31" s="281"/>
      <c r="AV31" s="369"/>
      <c r="AW31" s="369"/>
      <c r="AX31" s="369"/>
      <c r="AY31" s="369"/>
      <c r="AZ31" s="369"/>
      <c r="BA31" s="419">
        <v>0</v>
      </c>
    </row>
    <row s="1854" customFormat="1" customHeight="1" ht="18.75" hidden="1">
      <c r="A32" s="1369"/>
      <c r="B32" s="1369"/>
      <c r="C32" s="1369"/>
      <c r="D32" s="1369"/>
      <c r="E32" s="1369"/>
      <c r="F32" s="1369"/>
      <c r="G32" s="1369"/>
      <c r="H32" s="1369"/>
      <c r="I32" s="1369"/>
      <c r="J32" s="1369"/>
      <c r="K32" s="1369"/>
      <c r="L32" s="1370"/>
      <c r="M32" s="1369"/>
      <c r="N32" s="1369"/>
      <c r="O32" s="1369"/>
      <c r="P32" s="1369"/>
      <c r="Q32" s="1369"/>
      <c r="S32" s="2251" t="s">
        <v>438</v>
      </c>
      <c r="T32" s="2251"/>
      <c r="U32" s="1373"/>
      <c r="V32" s="2252" t="str">
        <f>IF(TITLE_NUMBER_PR_CHANGE="",IF(TITLE_NUMBER_PR="","",TITLE_NUMBER_PR),TITLE_NUMBER_PR_CHANGE)</f>
        <v>206Т</v>
      </c>
      <c r="W32" s="2252"/>
      <c r="X32" s="2252"/>
      <c r="Y32" s="2252"/>
      <c r="Z32" s="2252"/>
      <c r="AA32" s="327"/>
      <c r="AB32" s="2252" t="str">
        <f>IF(TITLE_NUMBER_PR_CHANGE="",IF(TITLE_NUMBER_PR="","",TITLE_NUMBER_PR),TITLE_NUMBER_PR_CHANGE)</f>
        <v>206Т</v>
      </c>
      <c r="AC32" s="2252"/>
      <c r="AD32" s="2252"/>
      <c r="AE32" s="2252"/>
      <c r="AF32" s="2252"/>
      <c r="AG32" s="2252"/>
      <c r="AH32" s="2252"/>
      <c r="AI32" s="2252"/>
      <c r="AJ32" s="2252"/>
      <c r="AK32" s="2252"/>
      <c r="AL32" s="2252"/>
      <c r="AM32" s="2252"/>
      <c r="AN32" s="2252"/>
      <c r="AO32" s="2252"/>
      <c r="AP32" s="2252"/>
      <c r="AQ32" s="2252"/>
      <c r="AR32" s="2252"/>
      <c r="AS32" s="327"/>
      <c r="AT32" s="327"/>
      <c r="AU32" s="281"/>
      <c r="AV32" s="369"/>
      <c r="AW32" s="369"/>
      <c r="AX32" s="369"/>
      <c r="AY32" s="369"/>
      <c r="AZ32" s="369"/>
      <c r="BA32" s="419">
        <v>0</v>
      </c>
    </row>
    <row s="1854" customFormat="1" customHeight="1" ht="18.75" hidden="1">
      <c r="A33" s="1369"/>
      <c r="B33" s="1369"/>
      <c r="C33" s="1369"/>
      <c r="D33" s="1369"/>
      <c r="E33" s="1369"/>
      <c r="F33" s="1369"/>
      <c r="G33" s="1369"/>
      <c r="H33" s="1369"/>
      <c r="I33" s="1369"/>
      <c r="J33" s="1369"/>
      <c r="K33" s="1369"/>
      <c r="L33" s="1370"/>
      <c r="M33" s="1369"/>
      <c r="N33" s="1369"/>
      <c r="O33" s="1369"/>
      <c r="P33" s="1369"/>
      <c r="Q33" s="1369"/>
      <c r="S33" s="2251" t="s">
        <v>43</v>
      </c>
      <c r="T33" s="2251"/>
      <c r="U33" s="1373"/>
      <c r="V33" s="2252" t="str">
        <f>IF(TITLE_IST_PUB_CHANGE="",IF(TITLE_IST_PUB="","",TITLE_IST_PUB),TITLE_IST_PUB_CHANGE)</f>
        <v/>
      </c>
      <c r="W33" s="2252"/>
      <c r="X33" s="2252"/>
      <c r="Y33" s="2252"/>
      <c r="Z33" s="2252"/>
      <c r="AA33" s="327"/>
      <c r="AB33" s="2252" t="str">
        <f>IF(TITLE_IST_PUB_CHANGE="",IF(TITLE_IST_PUB="","",TITLE_IST_PUB),TITLE_IST_PUB_CHANGE)</f>
        <v/>
      </c>
      <c r="AC33" s="2252"/>
      <c r="AD33" s="2252"/>
      <c r="AE33" s="2252"/>
      <c r="AF33" s="2252"/>
      <c r="AG33" s="2252"/>
      <c r="AH33" s="2252"/>
      <c r="AI33" s="2252"/>
      <c r="AJ33" s="2252"/>
      <c r="AK33" s="2252"/>
      <c r="AL33" s="2252"/>
      <c r="AM33" s="2252"/>
      <c r="AN33" s="2252"/>
      <c r="AO33" s="2252"/>
      <c r="AP33" s="2252"/>
      <c r="AQ33" s="2252"/>
      <c r="AR33" s="2252"/>
      <c r="AS33" s="327"/>
      <c r="AT33" s="327"/>
      <c r="AU33" s="281"/>
      <c r="AV33" s="369"/>
      <c r="AW33" s="369"/>
      <c r="AX33" s="369"/>
      <c r="AY33" s="369"/>
      <c r="AZ33" s="369"/>
      <c r="BA33" s="419">
        <v>0</v>
      </c>
    </row>
    <row customHeight="1" ht="14.25">
      <c r="Q34" s="292"/>
      <c r="R34" s="377"/>
      <c r="S34" s="1276"/>
      <c r="T34" s="364"/>
      <c r="U34" s="364"/>
      <c r="V34" s="323"/>
      <c r="W34" s="323"/>
      <c r="X34" s="323"/>
      <c r="Y34" s="323"/>
      <c r="Z34" s="323"/>
      <c r="AA34" s="323"/>
      <c r="AB34" s="323"/>
      <c r="AC34" s="323"/>
      <c r="AD34" s="323"/>
      <c r="AE34" s="323"/>
      <c r="AF34" s="323"/>
      <c r="AG34" s="323"/>
      <c r="AH34" s="323"/>
      <c r="AI34" s="323"/>
      <c r="AJ34" s="323"/>
      <c r="AK34" s="323"/>
      <c r="AL34" s="323"/>
      <c r="AM34" s="323"/>
      <c r="AN34" s="323"/>
      <c r="AO34" s="323"/>
      <c r="AP34" s="323"/>
      <c r="AQ34" s="323"/>
      <c r="AR34" s="323"/>
      <c r="AS34" s="323"/>
      <c r="AT34" s="510"/>
      <c r="BA34" s="1156">
        <v>0</v>
      </c>
    </row>
    <row s="1854" customFormat="1" customHeight="1" ht="18.75">
      <c r="A35" s="1369"/>
      <c r="B35" s="1369"/>
      <c r="C35" s="1369"/>
      <c r="D35" s="1369"/>
      <c r="E35" s="1369"/>
      <c r="F35" s="1369"/>
      <c r="G35" s="1369"/>
      <c r="H35" s="1369"/>
      <c r="I35" s="1369"/>
      <c r="J35" s="1369"/>
      <c r="K35" s="1369"/>
      <c r="L35" s="1370"/>
      <c r="M35" s="1369"/>
      <c r="N35" s="1369"/>
      <c r="O35" s="1369"/>
      <c r="P35" s="1369"/>
      <c r="Q35" s="1369"/>
      <c r="S35" s="2251" t="s">
        <v>437</v>
      </c>
      <c r="T35" s="2251"/>
      <c r="U35" s="1373"/>
      <c r="V35" s="2265" t="str">
        <f>IF(TITLE_DATE_PR_CHANGE="",IF(TITLE_DATE_PR="","",TITLE_DATE_PR),TITLE_DATE_PR_CHANGE)</f>
        <v>46142</v>
      </c>
      <c r="W35" s="2265"/>
      <c r="X35" s="2265"/>
      <c r="Y35" s="2265"/>
      <c r="Z35" s="2265"/>
      <c r="AA35" s="327"/>
      <c r="AB35" s="2265" t="str">
        <f>IF(TITLE_DATE_PR_CHANGE="",IF(TITLE_DATE_PR="","",TITLE_DATE_PR),TITLE_DATE_PR_CHANGE)</f>
        <v>46142</v>
      </c>
      <c r="AC35" s="2265"/>
      <c r="AD35" s="2265"/>
      <c r="AE35" s="2265"/>
      <c r="AF35" s="2265"/>
      <c r="AG35" s="2265"/>
      <c r="AH35" s="2265"/>
      <c r="AI35" s="2265"/>
      <c r="AJ35" s="2265"/>
      <c r="AK35" s="2265"/>
      <c r="AL35" s="2265"/>
      <c r="AM35" s="2265"/>
      <c r="AN35" s="2265"/>
      <c r="AO35" s="2265"/>
      <c r="AP35" s="2265"/>
      <c r="AQ35" s="2265"/>
      <c r="AR35" s="2265"/>
      <c r="AS35" s="327"/>
      <c r="AT35" s="327"/>
      <c r="AU35" s="281"/>
      <c r="AV35" s="369"/>
      <c r="AW35" s="369"/>
      <c r="AX35" s="369"/>
      <c r="AY35" s="369"/>
      <c r="AZ35" s="369"/>
      <c r="BA35" s="419">
        <v>0</v>
      </c>
    </row>
    <row s="1854" customFormat="1" customHeight="1" ht="18">
      <c r="A36" s="1369"/>
      <c r="B36" s="1369"/>
      <c r="C36" s="1369"/>
      <c r="D36" s="1369"/>
      <c r="E36" s="1369"/>
      <c r="F36" s="1369"/>
      <c r="G36" s="1369"/>
      <c r="H36" s="1369"/>
      <c r="I36" s="1369"/>
      <c r="J36" s="1369"/>
      <c r="K36" s="1369"/>
      <c r="L36" s="1370"/>
      <c r="M36" s="1369"/>
      <c r="N36" s="1369"/>
      <c r="O36" s="1369"/>
      <c r="P36" s="1369"/>
      <c r="Q36" s="1369"/>
      <c r="S36" s="2251" t="s">
        <v>438</v>
      </c>
      <c r="T36" s="2251"/>
      <c r="U36" s="1373"/>
      <c r="V36" s="2252" t="str">
        <f>IF(TITLE_NUMBER_PR_CHANGE="",IF(TITLE_NUMBER_PR="","",TITLE_NUMBER_PR),TITLE_NUMBER_PR_CHANGE)</f>
        <v>206Т</v>
      </c>
      <c r="W36" s="2252"/>
      <c r="X36" s="2252"/>
      <c r="Y36" s="2252"/>
      <c r="Z36" s="2252"/>
      <c r="AA36" s="327"/>
      <c r="AB36" s="2252" t="str">
        <f>IF(TITLE_NUMBER_PR_CHANGE="",IF(TITLE_NUMBER_PR="","",TITLE_NUMBER_PR),TITLE_NUMBER_PR_CHANGE)</f>
        <v>206Т</v>
      </c>
      <c r="AC36" s="2252"/>
      <c r="AD36" s="2252"/>
      <c r="AE36" s="2252"/>
      <c r="AF36" s="2252"/>
      <c r="AG36" s="2252"/>
      <c r="AH36" s="2252"/>
      <c r="AI36" s="2252"/>
      <c r="AJ36" s="2252"/>
      <c r="AK36" s="2252"/>
      <c r="AL36" s="2252"/>
      <c r="AM36" s="2252"/>
      <c r="AN36" s="2252"/>
      <c r="AO36" s="2252"/>
      <c r="AP36" s="2252"/>
      <c r="AQ36" s="2252"/>
      <c r="AR36" s="2252"/>
      <c r="AS36" s="327"/>
      <c r="AT36" s="327"/>
      <c r="AU36" s="281"/>
      <c r="AV36" s="369"/>
      <c r="AW36" s="369"/>
      <c r="AX36" s="369"/>
      <c r="AY36" s="369"/>
      <c r="AZ36" s="369"/>
      <c r="BA36" s="419">
        <v>0</v>
      </c>
    </row>
    <row s="1854" customFormat="1" customHeight="1" ht="1.05">
      <c r="A37" s="1369"/>
      <c r="B37" s="1369"/>
      <c r="C37" s="1369"/>
      <c r="D37" s="1369"/>
      <c r="E37" s="1369"/>
      <c r="F37" s="1369"/>
      <c r="G37" s="1369"/>
      <c r="H37" s="1369"/>
      <c r="I37" s="1369"/>
      <c r="J37" s="1369"/>
      <c r="K37" s="1369"/>
      <c r="L37" s="1370"/>
      <c r="M37" s="1369"/>
      <c r="N37" s="1369"/>
      <c r="O37" s="1369"/>
      <c r="P37" s="1369"/>
      <c r="Q37" s="1369"/>
      <c r="S37" s="324"/>
      <c r="T37" s="324"/>
      <c r="U37" s="1341"/>
      <c r="V37" s="327"/>
      <c r="W37" s="327"/>
      <c r="X37" s="327"/>
      <c r="Y37" s="327"/>
      <c r="Z37" s="327"/>
      <c r="AA37" s="279" t="s">
        <v>441</v>
      </c>
      <c r="AB37" s="327"/>
      <c r="AC37" s="327"/>
      <c r="AD37" s="327"/>
      <c r="AE37" s="327"/>
      <c r="AF37" s="327"/>
      <c r="AG37" s="327"/>
      <c r="AH37" s="327"/>
      <c r="AI37" s="327"/>
      <c r="AJ37" s="327"/>
      <c r="AK37" s="327"/>
      <c r="AL37" s="327"/>
      <c r="AM37" s="327"/>
      <c r="AN37" s="327"/>
      <c r="AO37" s="327"/>
      <c r="AP37" s="327"/>
      <c r="AQ37" s="327"/>
      <c r="AR37" s="327"/>
      <c r="AS37" s="279" t="s">
        <v>441</v>
      </c>
      <c r="AV37" s="369"/>
      <c r="AW37" s="369"/>
      <c r="AX37" s="369"/>
      <c r="AY37" s="369"/>
      <c r="AZ37" s="369"/>
      <c r="BA37" s="419">
        <v>1</v>
      </c>
    </row>
    <row customHeight="1" ht="14.699999999999998">
      <c r="Q38" s="292"/>
      <c r="R38" s="377"/>
      <c r="S38" s="1276"/>
      <c r="T38" s="364"/>
      <c r="U38" s="1245"/>
      <c r="V38" s="2253"/>
      <c r="W38" s="2253"/>
      <c r="X38" s="2253"/>
      <c r="Y38" s="2253"/>
      <c r="Z38" s="2253"/>
      <c r="AA38" s="2253"/>
      <c r="AB38" s="2253"/>
      <c r="AC38" s="2253"/>
      <c r="AD38" s="2253"/>
      <c r="AE38" s="2253"/>
      <c r="AF38" s="2253"/>
      <c r="AG38" s="2253"/>
      <c r="AH38" s="2253"/>
      <c r="AI38" s="2253"/>
      <c r="AJ38" s="2253"/>
      <c r="AK38" s="2253"/>
      <c r="AL38" s="2253"/>
      <c r="AM38" s="2253"/>
      <c r="AN38" s="2253"/>
      <c r="AO38" s="2253"/>
      <c r="AP38" s="2253"/>
      <c r="AQ38" s="2253"/>
      <c r="AR38" s="2253"/>
      <c r="AS38" s="2253"/>
      <c r="BA38" s="1156">
        <v>14</v>
      </c>
    </row>
    <row customHeight="1" ht="14.699999999999998">
      <c r="Q39" s="292"/>
      <c r="R39" s="377"/>
      <c r="S39" s="2128" t="s">
        <v>317</v>
      </c>
      <c r="T39" s="2128"/>
      <c r="U39" s="2128"/>
      <c r="V39" s="2128"/>
      <c r="W39" s="2128"/>
      <c r="X39" s="2128"/>
      <c r="Y39" s="2128"/>
      <c r="Z39" s="2128"/>
      <c r="AA39" s="2128"/>
      <c r="AB39" s="2176"/>
      <c r="AC39" s="2176"/>
      <c r="AD39" s="2176"/>
      <c r="AE39" s="2176"/>
      <c r="AF39" s="2128"/>
      <c r="AG39" s="2128"/>
      <c r="AH39" s="2128"/>
      <c r="AI39" s="2128"/>
      <c r="AJ39" s="2128"/>
      <c r="AK39" s="2128"/>
      <c r="AL39" s="2128"/>
      <c r="AM39" s="2128"/>
      <c r="AN39" s="2128"/>
      <c r="AO39" s="2128"/>
      <c r="AP39" s="2128"/>
      <c r="AQ39" s="2128"/>
      <c r="AR39" s="2128"/>
      <c r="AS39" s="2128"/>
      <c r="AT39" s="2128"/>
      <c r="AU39" s="2128" t="s">
        <v>318</v>
      </c>
      <c r="BA39" s="1156">
        <v>14</v>
      </c>
    </row>
    <row customHeight="1" ht="14.699999999999998">
      <c r="Q40" s="292"/>
      <c r="R40" s="377"/>
      <c r="S40" s="2274" t="s">
        <v>89</v>
      </c>
      <c r="T40" s="2210" t="s">
        <v>492</v>
      </c>
      <c r="U40" s="302"/>
      <c r="V40" s="2276"/>
      <c r="W40" s="2276"/>
      <c r="X40" s="2276"/>
      <c r="Y40" s="2276"/>
      <c r="Z40" s="2277"/>
      <c r="AA40" s="2337" t="s">
        <v>444</v>
      </c>
      <c r="AB40" s="2329" t="s">
        <v>493</v>
      </c>
      <c r="AC40" s="2292"/>
      <c r="AD40" s="2292"/>
      <c r="AE40" s="2330"/>
      <c r="AF40" s="2292" t="s">
        <v>494</v>
      </c>
      <c r="AG40" s="2292"/>
      <c r="AH40" s="2292"/>
      <c r="AI40" s="2330"/>
      <c r="AJ40" s="2329" t="s">
        <v>495</v>
      </c>
      <c r="AK40" s="2292"/>
      <c r="AL40" s="2292"/>
      <c r="AM40" s="2330"/>
      <c r="AN40" s="2329" t="s">
        <v>443</v>
      </c>
      <c r="AO40" s="2292"/>
      <c r="AP40" s="2276"/>
      <c r="AQ40" s="2276"/>
      <c r="AR40" s="2277"/>
      <c r="AS40" s="2278" t="s">
        <v>444</v>
      </c>
      <c r="AT40" s="2281" t="s">
        <v>446</v>
      </c>
      <c r="AU40" s="2128"/>
      <c r="BA40" s="1156">
        <v>14</v>
      </c>
    </row>
    <row customHeight="1" ht="35.699999999999996">
      <c r="Q41" s="292"/>
      <c r="R41" s="377"/>
      <c r="S41" s="2274"/>
      <c r="T41" s="2210"/>
      <c r="U41" s="1032"/>
      <c r="V41" s="2128" t="s">
        <v>496</v>
      </c>
      <c r="W41" s="2128"/>
      <c r="X41" s="2295" t="s">
        <v>450</v>
      </c>
      <c r="Y41" s="2314"/>
      <c r="Z41" s="2315"/>
      <c r="AA41" s="2338"/>
      <c r="AB41" s="2331"/>
      <c r="AC41" s="2332"/>
      <c r="AD41" s="2332"/>
      <c r="AE41" s="2333"/>
      <c r="AF41" s="2332"/>
      <c r="AG41" s="2332"/>
      <c r="AH41" s="2332"/>
      <c r="AI41" s="2333"/>
      <c r="AJ41" s="2331"/>
      <c r="AK41" s="2332"/>
      <c r="AL41" s="2332"/>
      <c r="AM41" s="2332"/>
      <c r="AN41" s="2128" t="s">
        <v>496</v>
      </c>
      <c r="AO41" s="2128"/>
      <c r="AP41" s="2314" t="s">
        <v>450</v>
      </c>
      <c r="AQ41" s="2314"/>
      <c r="AR41" s="2315"/>
      <c r="AS41" s="2279"/>
      <c r="AT41" s="2282"/>
      <c r="AU41" s="2128"/>
      <c r="BA41" s="1156">
        <v>34</v>
      </c>
    </row>
    <row customHeight="1" ht="14.699999999999998">
      <c r="Q42" s="292"/>
      <c r="R42" s="377"/>
      <c r="S42" s="2274"/>
      <c r="T42" s="2210"/>
      <c r="U42" s="1032"/>
      <c r="V42" s="2341" t="str">
        <f>IF($AN$42&lt;&gt;"",$AN$42,"")</f>
        <v/>
      </c>
      <c r="W42" s="2341"/>
      <c r="X42" s="2296"/>
      <c r="Y42" s="2316"/>
      <c r="Z42" s="2317"/>
      <c r="AA42" s="2338"/>
      <c r="AB42" s="2331"/>
      <c r="AC42" s="2332"/>
      <c r="AD42" s="2332"/>
      <c r="AE42" s="2333"/>
      <c r="AF42" s="2332"/>
      <c r="AG42" s="2332"/>
      <c r="AH42" s="2332"/>
      <c r="AI42" s="2333"/>
      <c r="AJ42" s="2331"/>
      <c r="AK42" s="2332"/>
      <c r="AL42" s="2332"/>
      <c r="AM42" s="2332"/>
      <c r="AN42" s="2340"/>
      <c r="AO42" s="2340"/>
      <c r="AP42" s="2316"/>
      <c r="AQ42" s="2316"/>
      <c r="AR42" s="2317"/>
      <c r="AS42" s="2279"/>
      <c r="AT42" s="2282"/>
      <c r="AU42" s="2128"/>
      <c r="BA42" s="1156">
        <v>14</v>
      </c>
    </row>
    <row customHeight="1" ht="14.699999999999998">
      <c r="A43" s="1371"/>
      <c r="B43" s="1371" t="s">
        <v>143</v>
      </c>
      <c r="C43" s="1371" t="s">
        <v>144</v>
      </c>
      <c r="D43" s="1371" t="s">
        <v>145</v>
      </c>
      <c r="E43" s="1365" t="s">
        <v>451</v>
      </c>
      <c r="F43" s="1365" t="s">
        <v>452</v>
      </c>
      <c r="G43" s="1365" t="s">
        <v>453</v>
      </c>
      <c r="H43" s="1365" t="s">
        <v>454</v>
      </c>
      <c r="I43" s="1365" t="s">
        <v>455</v>
      </c>
      <c r="J43" s="1365" t="s">
        <v>456</v>
      </c>
      <c r="K43" s="1365" t="s">
        <v>457</v>
      </c>
      <c r="L43" s="1365" t="s">
        <v>432</v>
      </c>
      <c r="Q43" s="292"/>
      <c r="R43" s="377"/>
      <c r="S43" s="2274"/>
      <c r="T43" s="2210"/>
      <c r="U43" s="303"/>
      <c r="V43" s="1331" t="s">
        <v>497</v>
      </c>
      <c r="W43" s="1331" t="s">
        <v>498</v>
      </c>
      <c r="X43" s="1339" t="s">
        <v>460</v>
      </c>
      <c r="Y43" s="2271" t="s">
        <v>461</v>
      </c>
      <c r="Z43" s="2272"/>
      <c r="AA43" s="2339"/>
      <c r="AB43" s="2334"/>
      <c r="AC43" s="2335"/>
      <c r="AD43" s="2335"/>
      <c r="AE43" s="2336"/>
      <c r="AF43" s="2335"/>
      <c r="AG43" s="2335"/>
      <c r="AH43" s="2335"/>
      <c r="AI43" s="2336"/>
      <c r="AJ43" s="2334"/>
      <c r="AK43" s="2335"/>
      <c r="AL43" s="2335"/>
      <c r="AM43" s="2336"/>
      <c r="AN43" s="1861" t="s">
        <v>497</v>
      </c>
      <c r="AO43" s="1861" t="s">
        <v>498</v>
      </c>
      <c r="AP43" s="1339" t="s">
        <v>460</v>
      </c>
      <c r="AQ43" s="2271" t="s">
        <v>461</v>
      </c>
      <c r="AR43" s="2272"/>
      <c r="AS43" s="2280"/>
      <c r="AT43" s="2283"/>
      <c r="AU43" s="2128"/>
      <c r="BA43" s="1156">
        <v>14</v>
      </c>
    </row>
    <row s="1642" customFormat="1" customHeight="1" ht="11.25" hidden="1">
      <c r="A44" s="1371"/>
      <c r="B44" s="1371"/>
      <c r="C44" s="1371"/>
      <c r="D44" s="1371"/>
      <c r="E44" s="1371"/>
      <c r="F44" s="1371"/>
      <c r="G44" s="1371"/>
      <c r="H44" s="1371"/>
      <c r="I44" s="1371"/>
      <c r="J44" s="1371"/>
      <c r="K44" s="1371"/>
      <c r="L44" s="1365"/>
      <c r="M44" s="1363"/>
      <c r="N44" s="1363"/>
      <c r="O44" s="1363"/>
      <c r="P44" s="511"/>
      <c r="Q44" s="1255"/>
      <c r="R44" s="1255">
        <v>1</v>
      </c>
      <c r="S44" s="1278" t="s">
        <v>118</v>
      </c>
      <c r="T44" s="1256" t="s">
        <v>103</v>
      </c>
      <c r="U44" s="1246" t="str">
        <f>OFFSET(U44,0,-1)</f>
        <v>2</v>
      </c>
      <c r="V44" s="1336">
        <f>OFFSET(V44,0,-1)+1</f>
        <v>3</v>
      </c>
      <c r="W44" s="1336">
        <f>OFFSET(W44,0,-1)+1</f>
        <v>4</v>
      </c>
      <c r="X44" s="1336">
        <f>OFFSET(X44,0,-1)+1</f>
        <v>5</v>
      </c>
      <c r="Y44" s="2273">
        <f>OFFSET(Y44,0,-1)+1</f>
        <v>6</v>
      </c>
      <c r="Z44" s="2273"/>
      <c r="AA44" s="1336">
        <f>OFFSET(AA44,0,-2)+1</f>
        <v>7</v>
      </c>
      <c r="AB44" s="1342">
        <f>OFFSET(AB44,0,-1)+1</f>
        <v>8</v>
      </c>
      <c r="AC44" s="1342"/>
      <c r="AD44" s="1342"/>
      <c r="AE44" s="1342"/>
      <c r="AF44" s="1336"/>
      <c r="AG44" s="1336"/>
      <c r="AH44" s="1336"/>
      <c r="AI44" s="1336"/>
      <c r="AJ44" s="1336"/>
      <c r="AK44" s="1336"/>
      <c r="AL44" s="1336"/>
      <c r="AM44" s="1336"/>
      <c r="AN44" s="1336">
        <f>OFFSET(AN44,0,-1)+1</f>
        <v>1</v>
      </c>
      <c r="AO44" s="1336">
        <f>OFFSET(AO44,0,-1)+1</f>
        <v>2</v>
      </c>
      <c r="AP44" s="1336">
        <f>OFFSET(AP44,0,-1)+1</f>
        <v>3</v>
      </c>
      <c r="AQ44" s="2273">
        <f>OFFSET(AQ44,0,-1)+1</f>
        <v>4</v>
      </c>
      <c r="AR44" s="2273"/>
      <c r="AS44" s="1336">
        <f>OFFSET(AS44,0,-2)+1</f>
        <v>5</v>
      </c>
      <c r="AT44" s="1246">
        <f>OFFSET(AT44,0,-1)</f>
        <v>5</v>
      </c>
      <c r="AU44" s="1336">
        <f>OFFSET(AU44,0,-1)+1</f>
        <v>6</v>
      </c>
      <c r="AV44" s="512"/>
      <c r="AW44" s="512"/>
      <c r="AX44" s="512"/>
      <c r="AY44" s="512"/>
      <c r="AZ44" s="512"/>
      <c r="BA44" s="497">
        <v>0</v>
      </c>
    </row>
    <row customHeight="1" ht="107.25">
      <c r="A45" s="1364" t="s">
        <v>217</v>
      </c>
      <c r="B45" s="1364"/>
      <c r="C45" s="1364"/>
      <c r="D45" s="1364"/>
      <c r="E45" s="2259">
        <v>1</v>
      </c>
      <c r="F45" s="1364"/>
      <c r="G45" s="1364"/>
      <c r="H45" s="1364"/>
      <c r="I45" s="1364"/>
      <c r="J45" s="1364"/>
      <c r="K45" s="1364"/>
      <c r="L45" s="1365"/>
      <c r="M45" s="1366"/>
      <c r="N45" s="1366"/>
      <c r="O45" s="1366"/>
      <c r="P45" s="1410"/>
      <c r="Q45" s="874"/>
      <c r="R45" s="356"/>
      <c r="S45" s="1337">
        <f>INDEX(PT_DIFFERENTIATION_NUM_NTAR,MATCH(A45,PT_DIFFERENTIATION_NTAR_ID,0))</f>
        <v>0</v>
      </c>
      <c r="T45" s="299" t="s">
        <v>131</v>
      </c>
      <c r="U45" s="301"/>
      <c r="V45" s="2244"/>
      <c r="W45" s="2244"/>
      <c r="X45" s="2244"/>
      <c r="Y45" s="2244"/>
      <c r="Z45" s="2244"/>
      <c r="AA45" s="2245"/>
      <c r="AB45" s="2243" t="str">
        <f>INDEX(PT_DIFFERENTIATION_NTAR,MATCH(A45,PT_DIFFERENTIATION_NTAR_ID,0))</f>
        <v/>
      </c>
      <c r="AC45" s="2244"/>
      <c r="AD45" s="2244"/>
      <c r="AE45" s="2244"/>
      <c r="AF45" s="2244"/>
      <c r="AG45" s="2244"/>
      <c r="AH45" s="2244"/>
      <c r="AI45" s="2244"/>
      <c r="AJ45" s="2244"/>
      <c r="AK45" s="2244"/>
      <c r="AL45" s="2244"/>
      <c r="AM45" s="2244"/>
      <c r="AN45" s="2244"/>
      <c r="AO45" s="2244"/>
      <c r="AP45" s="2244"/>
      <c r="AQ45" s="2244"/>
      <c r="AR45" s="2244"/>
      <c r="AS45" s="2244"/>
      <c r="AT45" s="2245"/>
      <c r="AU45" s="1259" t="str">
        <f>IF(TEMPLATE_GROUP="P","По данной форме раскрывается в том числе информация о тарифах на товары (услуги) в сфере теплоснабжения в случаях, указанных в частях 12 1 - 12 4 статьи 10 Федерального закона от 27 июля 2010 г."&amp;" N 190-ФЗ ""О теплоснабжении"", теплоснабжающей организации, теплосетевой организации в ценовых зонах теплоснабжения. "&amp;"Указывается наименование тарифа в случае утверждения нескольких тарифов. В случае наличия нескольких тарифов информация по ним указывается в отдельных строках.
"&amp;"Указываются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об установлении "&amp;"цены (тарифа), источник официального опубликования решения об установлении цены (тарифа) в сфере теплоснабжения.","По данной форме раскрывается в том числе информация о плате за подключение (технологическое присоединение) к системе теплоснабжения, применяемой в случае, установленном частью 9 статьи"&amp;" 23 4 Федерального закона от 27 июля 2010 г. N 190-ФЗ ""О теплоснабжении"".
"&amp;"По данной форме раскрывается в том числе информация о тарифах на товары (услуги) в сфере теплоснабжения в случаях, указанных частях 12 1 - 12 4 статьи 10 от 27 июля 2010 г. N 190-ФЗ"&amp;" Федерального закона ""О теплоснабжении"", теплоснабжающей организации, теплосетевой организации в ценовых зонах теплоснабжения.
"&amp;"В отношении платы за подключение в расчете на единицу мощности тепловой энергии величина платы указывается в тыс.руб./Гкал/ч; в отношении платы за подключение в индивидуальном"&amp;" порядке - в тыс.руб.; в отношении льготного размера платы за подключение - в руб.
"&amp;"Указывается наименование тарифа в случае расчета нескольких тарифов. 
"&amp;"В случае наличия нескольких тарифов информация по ним указывается в отдельных строках.")</f>
        <v>По данной форме раскрывается в том числе информация о плате за подключение (технологическое присоединение) к системе теплоснабжения, применяемой в случае, установленном частью 9 статьи 23 4 Федерального закона от 27 июля 2010 г. N 190-ФЗ "О теплоснабжении".
По данной форме раскрывается в том числе информация о тарифах на товары (услуги) в сфере теплоснабжения в случаях, указанных частях 12 1 - 12 4 статьи 10 от 27 июля 2010 г. N 190-ФЗ Федерального закона "О теплоснабжении", теплоснабжающей организации, теплосетевой организации в ценовых зонах теплоснабжения.
В отношении платы за подключение в расчете на единицу мощности тепловой энергии величина платы указывается в тыс.руб./Гкал/ч; в отношении платы за подключение в индивидуальном порядке - в тыс.руб.; в отношении льготного размера платы за подключение - в руб.
Указывается наименование тарифа в случае расчета нескольких тарифов. 
В случае наличия нескольких тарифов информация по ним указывается в отдельных строках.</v>
      </c>
      <c r="AW45" s="501"/>
      <c r="AX45" s="501" t="str">
        <f>IF(T45="","",T45)</f>
        <v>Наименование тарифа</v>
      </c>
      <c r="AY45" s="501"/>
      <c r="AZ45" s="501"/>
      <c r="BA45" s="1156">
        <v>102</v>
      </c>
    </row>
    <row customHeight="1" ht="22.049999999999997">
      <c r="A46" s="1364" t="s">
        <v>217</v>
      </c>
      <c r="B46" s="1364" t="s">
        <v>218</v>
      </c>
      <c r="C46" s="1364"/>
      <c r="D46" s="1364"/>
      <c r="E46" s="2260"/>
      <c r="F46" s="2259">
        <v>1</v>
      </c>
      <c r="G46" s="1364"/>
      <c r="H46" s="1364"/>
      <c r="I46" s="1364"/>
      <c r="J46" s="1364"/>
      <c r="K46" s="1364"/>
      <c r="L46" s="1365"/>
      <c r="M46" s="1366"/>
      <c r="N46" s="1366"/>
      <c r="O46" s="1366"/>
      <c r="P46" s="1411"/>
      <c r="Q46" s="1412"/>
      <c r="R46" s="354"/>
      <c r="S46" s="1337" t="str">
        <f>INDEX(PT_DIFFERENTIATION_NUM_TER,MATCH(B46,PT_DIFFERENTIATION_TER_ID,0))</f>
        <v>.</v>
      </c>
      <c r="T46" s="309" t="s">
        <v>414</v>
      </c>
      <c r="U46" s="301"/>
      <c r="V46" s="2244"/>
      <c r="W46" s="2244"/>
      <c r="X46" s="2244"/>
      <c r="Y46" s="2244"/>
      <c r="Z46" s="2244"/>
      <c r="AA46" s="2245"/>
      <c r="AB46" s="2243" t="str">
        <f>INDEX(PT_DIFFERENTIATION_TER,MATCH(B46,PT_DIFFERENTIATION_TER_ID,0))</f>
        <v/>
      </c>
      <c r="AC46" s="2244"/>
      <c r="AD46" s="2244"/>
      <c r="AE46" s="2244"/>
      <c r="AF46" s="2244"/>
      <c r="AG46" s="2244"/>
      <c r="AH46" s="2244"/>
      <c r="AI46" s="2244"/>
      <c r="AJ46" s="2244"/>
      <c r="AK46" s="2244"/>
      <c r="AL46" s="2244"/>
      <c r="AM46" s="2244"/>
      <c r="AN46" s="2244"/>
      <c r="AO46" s="2244"/>
      <c r="AP46" s="2244"/>
      <c r="AQ46" s="2244"/>
      <c r="AR46" s="2244"/>
      <c r="AS46" s="2244"/>
      <c r="AT46" s="2245"/>
      <c r="AU46" s="1259" t="s">
        <v>415</v>
      </c>
      <c r="AW46" s="501"/>
      <c r="AX46" s="501" t="str">
        <f>IF(T46="","",T46)</f>
        <v>Территория действия тарифа</v>
      </c>
      <c r="AY46" s="501"/>
      <c r="AZ46" s="501"/>
      <c r="BA46" s="1156">
        <v>21</v>
      </c>
    </row>
    <row customHeight="1" ht="24">
      <c r="A47" s="1364" t="s">
        <v>217</v>
      </c>
      <c r="B47" s="1364" t="s">
        <v>218</v>
      </c>
      <c r="C47" s="1364" t="s">
        <v>219</v>
      </c>
      <c r="D47" s="1364"/>
      <c r="E47" s="2260"/>
      <c r="F47" s="2260"/>
      <c r="G47" s="2259">
        <v>1</v>
      </c>
      <c r="H47" s="1364"/>
      <c r="I47" s="1364"/>
      <c r="J47" s="1364"/>
      <c r="K47" s="1364"/>
      <c r="L47" s="1365"/>
      <c r="M47" s="1366"/>
      <c r="N47" s="1366"/>
      <c r="O47" s="1366"/>
      <c r="P47" s="1413"/>
      <c r="Q47" s="1412"/>
      <c r="R47" s="354"/>
      <c r="S47" s="1337" t="str">
        <f>INDEX(PT_DIFFERENTIATION_NUM_CS,MATCH(C47,PT_DIFFERENTIATION_CS_ID,0))</f>
        <v>..</v>
      </c>
      <c r="T47" s="310" t="s">
        <v>416</v>
      </c>
      <c r="U47" s="301"/>
      <c r="V47" s="2244"/>
      <c r="W47" s="2244"/>
      <c r="X47" s="2244"/>
      <c r="Y47" s="2244"/>
      <c r="Z47" s="2244"/>
      <c r="AA47" s="2245"/>
      <c r="AB47" s="2243" t="str">
        <f>INDEX(PT_DIFFERENTIATION_CS,MATCH(C47,PT_DIFFERENTIATION_CS_ID,0))</f>
        <v/>
      </c>
      <c r="AC47" s="2244"/>
      <c r="AD47" s="2244"/>
      <c r="AE47" s="2244"/>
      <c r="AF47" s="2244"/>
      <c r="AG47" s="2244"/>
      <c r="AH47" s="2244"/>
      <c r="AI47" s="2244"/>
      <c r="AJ47" s="2244"/>
      <c r="AK47" s="2244"/>
      <c r="AL47" s="2244"/>
      <c r="AM47" s="2244"/>
      <c r="AN47" s="2244"/>
      <c r="AO47" s="2244"/>
      <c r="AP47" s="2244"/>
      <c r="AQ47" s="2244"/>
      <c r="AR47" s="2244"/>
      <c r="AS47" s="2244"/>
      <c r="AT47" s="2245"/>
      <c r="AU47" s="1259" t="s">
        <v>417</v>
      </c>
      <c r="AW47" s="501"/>
      <c r="AX47" s="501" t="str">
        <f>IF(T47="","",T47)</f>
        <v>Наименование системы теплоснабжения </v>
      </c>
      <c r="AY47" s="501"/>
      <c r="AZ47" s="501"/>
      <c r="BA47" s="1156">
        <v>23</v>
      </c>
    </row>
    <row customHeight="1" ht="21">
      <c r="A48" s="1364" t="s">
        <v>217</v>
      </c>
      <c r="B48" s="1364" t="s">
        <v>218</v>
      </c>
      <c r="C48" s="1364" t="s">
        <v>219</v>
      </c>
      <c r="D48" s="1364" t="s">
        <v>220</v>
      </c>
      <c r="E48" s="2260"/>
      <c r="F48" s="2260"/>
      <c r="G48" s="2260"/>
      <c r="H48" s="2259">
        <v>1</v>
      </c>
      <c r="I48" s="1364"/>
      <c r="J48" s="1364"/>
      <c r="K48" s="1364"/>
      <c r="L48" s="1365"/>
      <c r="M48" s="1366"/>
      <c r="N48" s="1366"/>
      <c r="O48" s="1366"/>
      <c r="P48" s="1413"/>
      <c r="Q48" s="1412"/>
      <c r="R48" s="354"/>
      <c r="S48" s="1337" t="str">
        <f>INDEX(PT_DIFFERENTIATION_NUM_IST_TE,MATCH(D48,PT_DIFFERENTIATION_IST_TE_ID,0))</f>
        <v>...</v>
      </c>
      <c r="T48" s="311" t="s">
        <v>418</v>
      </c>
      <c r="U48" s="301"/>
      <c r="V48" s="2244"/>
      <c r="W48" s="2244"/>
      <c r="X48" s="2244"/>
      <c r="Y48" s="2244"/>
      <c r="Z48" s="2244"/>
      <c r="AA48" s="2245"/>
      <c r="AB48" s="2243" t="str">
        <f>INDEX(PT_DIFFERENTIATION_IST_TE,MATCH(D48,PT_DIFFERENTIATION_IST_TE_ID,0))</f>
        <v/>
      </c>
      <c r="AC48" s="2244"/>
      <c r="AD48" s="2244"/>
      <c r="AE48" s="2244"/>
      <c r="AF48" s="2244"/>
      <c r="AG48" s="2244"/>
      <c r="AH48" s="2244"/>
      <c r="AI48" s="2244"/>
      <c r="AJ48" s="2244"/>
      <c r="AK48" s="2244"/>
      <c r="AL48" s="2244"/>
      <c r="AM48" s="2244"/>
      <c r="AN48" s="2244"/>
      <c r="AO48" s="2244"/>
      <c r="AP48" s="2244"/>
      <c r="AQ48" s="2244"/>
      <c r="AR48" s="2244"/>
      <c r="AS48" s="2244"/>
      <c r="AT48" s="2245"/>
      <c r="AU48" s="1259" t="s">
        <v>419</v>
      </c>
      <c r="AW48" s="501"/>
      <c r="AX48" s="501" t="str">
        <f>IF(T48="","",T48)</f>
        <v>Источник тепловой энергии  </v>
      </c>
      <c r="AY48" s="501"/>
      <c r="AZ48" s="501"/>
      <c r="BA48" s="1156">
        <v>20</v>
      </c>
    </row>
    <row s="1643" customFormat="1" customHeight="1" ht="1.05">
      <c r="A49" s="1344" t="s">
        <v>217</v>
      </c>
      <c r="B49" s="1344" t="s">
        <v>218</v>
      </c>
      <c r="C49" s="1344" t="s">
        <v>219</v>
      </c>
      <c r="D49" s="1344" t="s">
        <v>220</v>
      </c>
      <c r="E49" s="2260"/>
      <c r="F49" s="2260"/>
      <c r="G49" s="2260"/>
      <c r="H49" s="2260"/>
      <c r="I49" s="2257" t="str">
        <f>S48&amp;".1"</f>
        <v>....1</v>
      </c>
      <c r="J49" s="1344"/>
      <c r="K49" s="1344"/>
      <c r="L49" s="1347" t="s">
        <v>420</v>
      </c>
      <c r="M49" s="511"/>
      <c r="N49" s="511"/>
      <c r="O49" s="511"/>
      <c r="P49" s="2258">
        <v>1</v>
      </c>
      <c r="Q49" s="1332"/>
      <c r="R49" s="357"/>
      <c r="S49" s="1043"/>
      <c r="T49" s="1384"/>
      <c r="U49" s="1385"/>
      <c r="V49" s="2298"/>
      <c r="W49" s="2298"/>
      <c r="X49" s="2298"/>
      <c r="Y49" s="2298"/>
      <c r="Z49" s="2298"/>
      <c r="AA49" s="2299"/>
      <c r="AB49" s="2297"/>
      <c r="AC49" s="2298"/>
      <c r="AD49" s="2298"/>
      <c r="AE49" s="2298"/>
      <c r="AF49" s="2298"/>
      <c r="AG49" s="2298"/>
      <c r="AH49" s="2298"/>
      <c r="AI49" s="2298"/>
      <c r="AJ49" s="2298"/>
      <c r="AK49" s="2298"/>
      <c r="AL49" s="2298"/>
      <c r="AM49" s="2298"/>
      <c r="AN49" s="2298"/>
      <c r="AO49" s="2298"/>
      <c r="AP49" s="2298"/>
      <c r="AQ49" s="2298"/>
      <c r="AR49" s="2298"/>
      <c r="AS49" s="2298"/>
      <c r="AT49" s="2299"/>
      <c r="AU49" s="1386"/>
      <c r="AW49" s="501"/>
      <c r="AX49" s="501" t="str">
        <f>IF(T49="","",T49)</f>
        <v/>
      </c>
      <c r="AY49" s="501"/>
      <c r="AZ49" s="501"/>
      <c r="BA49" s="512">
        <v>1</v>
      </c>
    </row>
    <row s="1643" customFormat="1" customHeight="1" ht="1.05">
      <c r="A50" s="1344" t="s">
        <v>217</v>
      </c>
      <c r="B50" s="1344" t="s">
        <v>218</v>
      </c>
      <c r="C50" s="1344" t="s">
        <v>219</v>
      </c>
      <c r="D50" s="1344" t="s">
        <v>220</v>
      </c>
      <c r="E50" s="2260"/>
      <c r="F50" s="2260"/>
      <c r="G50" s="2260"/>
      <c r="H50" s="2260"/>
      <c r="I50" s="2287"/>
      <c r="J50" s="2257" t="str">
        <f>S48&amp;".1"</f>
        <v>....1</v>
      </c>
      <c r="K50" s="1344"/>
      <c r="L50" s="1347"/>
      <c r="M50" s="511"/>
      <c r="N50" s="511"/>
      <c r="O50" s="511"/>
      <c r="P50" s="2258"/>
      <c r="Q50" s="2258">
        <v>1</v>
      </c>
      <c r="R50" s="358"/>
      <c r="S50" s="1043"/>
      <c r="T50" s="1400"/>
      <c r="U50" s="1385"/>
      <c r="V50" s="2298"/>
      <c r="W50" s="2298"/>
      <c r="X50" s="2298"/>
      <c r="Y50" s="2298"/>
      <c r="Z50" s="2298"/>
      <c r="AA50" s="2299"/>
      <c r="AB50" s="2297"/>
      <c r="AC50" s="2298"/>
      <c r="AD50" s="2298"/>
      <c r="AE50" s="2298"/>
      <c r="AF50" s="2298"/>
      <c r="AG50" s="2298"/>
      <c r="AH50" s="2298"/>
      <c r="AI50" s="2298"/>
      <c r="AJ50" s="2298"/>
      <c r="AK50" s="2298"/>
      <c r="AL50" s="2298"/>
      <c r="AM50" s="2298"/>
      <c r="AN50" s="2298"/>
      <c r="AO50" s="2298"/>
      <c r="AP50" s="2298"/>
      <c r="AQ50" s="2298"/>
      <c r="AR50" s="2298"/>
      <c r="AS50" s="2298"/>
      <c r="AT50" s="2299"/>
      <c r="AU50" s="1386"/>
      <c r="AW50" s="501"/>
      <c r="AX50" s="501" t="str">
        <f>IF(T50="","",T50)</f>
        <v/>
      </c>
      <c r="AY50" s="501"/>
      <c r="AZ50" s="501"/>
      <c r="BA50" s="512">
        <v>1</v>
      </c>
    </row>
    <row customHeight="1" ht="22.049999999999997">
      <c r="A51" s="1364" t="s">
        <v>217</v>
      </c>
      <c r="B51" s="1364" t="s">
        <v>218</v>
      </c>
      <c r="C51" s="1364" t="s">
        <v>219</v>
      </c>
      <c r="D51" s="1364" t="s">
        <v>220</v>
      </c>
      <c r="E51" s="2260"/>
      <c r="F51" s="2260"/>
      <c r="G51" s="2260"/>
      <c r="H51" s="2260"/>
      <c r="I51" s="2287"/>
      <c r="J51" s="2287"/>
      <c r="K51" s="2257" t="str">
        <f>S48&amp;".1"</f>
        <v>....1</v>
      </c>
      <c r="L51" s="1365"/>
      <c r="P51" s="2258"/>
      <c r="Q51" s="2258"/>
      <c r="R51" s="358">
        <v>1</v>
      </c>
      <c r="S51" s="2342" t="str">
        <f>$K51</f>
        <v>....1</v>
      </c>
      <c r="T51" s="2345"/>
      <c r="U51" s="301"/>
      <c r="V51" s="752"/>
      <c r="W51" s="1258"/>
      <c r="X51" s="1735"/>
      <c r="Y51" s="1460" t="s">
        <v>61</v>
      </c>
      <c r="Z51" s="1735"/>
      <c r="AA51" s="1460" t="s">
        <v>61</v>
      </c>
      <c r="AB51" s="2108" t="s">
        <v>19</v>
      </c>
      <c r="AC51" s="2327"/>
      <c r="AD51" s="2206">
        <v>1</v>
      </c>
      <c r="AE51" s="2349" t="s">
        <v>28</v>
      </c>
      <c r="AF51" s="2108" t="s">
        <v>19</v>
      </c>
      <c r="AG51" s="2327"/>
      <c r="AH51" s="2206">
        <v>1</v>
      </c>
      <c r="AI51" s="2349" t="s">
        <v>28</v>
      </c>
      <c r="AJ51" s="2108" t="s">
        <v>19</v>
      </c>
      <c r="AK51" s="312"/>
      <c r="AL51" s="1338">
        <v>1</v>
      </c>
      <c r="AM51" s="1403"/>
      <c r="AN51" s="752"/>
      <c r="AO51" s="1258"/>
      <c r="AP51" s="1735"/>
      <c r="AQ51" s="1460" t="s">
        <v>61</v>
      </c>
      <c r="AR51" s="1735"/>
      <c r="AS51" s="1460" t="s">
        <v>61</v>
      </c>
      <c r="AT51" s="1349"/>
      <c r="AU51" s="2254" t="s">
        <v>499</v>
      </c>
      <c r="AV51" s="512">
        <f>STRCHECKDATE(V54:AT54)</f>
      </c>
      <c r="AW51" s="501"/>
      <c r="AX51" s="501" t="str">
        <f>IF(T51="","",T51)</f>
        <v/>
      </c>
      <c r="AY51" s="501"/>
      <c r="AZ51" s="501"/>
      <c r="BA51" s="1156">
        <v>21</v>
      </c>
    </row>
    <row customHeight="1" ht="11.549999999999999">
      <c r="A52" s="1364" t="s">
        <v>217</v>
      </c>
      <c r="B52" s="1364"/>
      <c r="C52" s="1364"/>
      <c r="D52" s="1364"/>
      <c r="E52" s="2260"/>
      <c r="F52" s="2260"/>
      <c r="G52" s="2260"/>
      <c r="H52" s="2260"/>
      <c r="I52" s="2287"/>
      <c r="J52" s="2287"/>
      <c r="K52" s="2257"/>
      <c r="L52" s="1365"/>
      <c r="P52" s="2258"/>
      <c r="Q52" s="2258"/>
      <c r="R52" s="358"/>
      <c r="S52" s="2343"/>
      <c r="T52" s="2346"/>
      <c r="U52" s="301"/>
      <c r="V52" s="1394"/>
      <c r="W52" s="1497"/>
      <c r="X52" s="1394"/>
      <c r="Y52" s="1394"/>
      <c r="Z52" s="1394"/>
      <c r="AA52" s="1394"/>
      <c r="AB52" s="2108"/>
      <c r="AC52" s="2327"/>
      <c r="AD52" s="2206"/>
      <c r="AE52" s="2349"/>
      <c r="AF52" s="2108"/>
      <c r="AG52" s="2327"/>
      <c r="AH52" s="2206"/>
      <c r="AI52" s="2349"/>
      <c r="AJ52" s="2108"/>
      <c r="AK52" s="317"/>
      <c r="AL52" s="417"/>
      <c r="AM52" s="416" t="s">
        <v>484</v>
      </c>
      <c r="AN52" s="1394"/>
      <c r="AO52" s="1497"/>
      <c r="AP52" s="1394"/>
      <c r="AQ52" s="1394"/>
      <c r="AR52" s="1394"/>
      <c r="AS52" s="1394"/>
      <c r="AT52" s="1391"/>
      <c r="AU52" s="2255"/>
      <c r="AW52" s="501"/>
      <c r="AX52" s="501"/>
      <c r="AY52" s="501"/>
      <c r="AZ52" s="501"/>
      <c r="BA52" s="1156">
        <v>11</v>
      </c>
    </row>
    <row customHeight="1" ht="11.549999999999999">
      <c r="A53" s="1364" t="s">
        <v>217</v>
      </c>
      <c r="B53" s="1364"/>
      <c r="C53" s="1364"/>
      <c r="D53" s="1364"/>
      <c r="E53" s="2260"/>
      <c r="F53" s="2260"/>
      <c r="G53" s="2260"/>
      <c r="H53" s="2260"/>
      <c r="I53" s="2287"/>
      <c r="J53" s="2287"/>
      <c r="K53" s="2257"/>
      <c r="L53" s="1365"/>
      <c r="P53" s="2258"/>
      <c r="Q53" s="2258"/>
      <c r="R53" s="358"/>
      <c r="S53" s="2343"/>
      <c r="T53" s="2346"/>
      <c r="U53" s="301"/>
      <c r="V53" s="1394"/>
      <c r="W53" s="1497"/>
      <c r="X53" s="1394"/>
      <c r="Y53" s="1394"/>
      <c r="Z53" s="1394"/>
      <c r="AA53" s="1394"/>
      <c r="AB53" s="2108"/>
      <c r="AC53" s="2327"/>
      <c r="AD53" s="2206"/>
      <c r="AE53" s="2349"/>
      <c r="AF53" s="2108"/>
      <c r="AG53" s="295"/>
      <c r="AH53" s="416"/>
      <c r="AI53" s="416" t="s">
        <v>485</v>
      </c>
      <c r="AJ53" s="1394"/>
      <c r="AK53" s="1394"/>
      <c r="AL53" s="1394"/>
      <c r="AM53" s="1394"/>
      <c r="AN53" s="1394"/>
      <c r="AO53" s="1497"/>
      <c r="AP53" s="1394"/>
      <c r="AQ53" s="1394"/>
      <c r="AR53" s="1394"/>
      <c r="AS53" s="1394"/>
      <c r="AT53" s="1391"/>
      <c r="AU53" s="2255"/>
      <c r="AW53" s="501"/>
      <c r="AX53" s="501"/>
      <c r="AY53" s="501"/>
      <c r="AZ53" s="501"/>
      <c r="BA53" s="1156">
        <v>11</v>
      </c>
    </row>
    <row customHeight="1" ht="11.549999999999999">
      <c r="A54" s="1364" t="s">
        <v>217</v>
      </c>
      <c r="B54" s="1364" t="s">
        <v>218</v>
      </c>
      <c r="C54" s="1364" t="s">
        <v>219</v>
      </c>
      <c r="D54" s="1364" t="s">
        <v>220</v>
      </c>
      <c r="E54" s="2260"/>
      <c r="F54" s="2260"/>
      <c r="G54" s="2260"/>
      <c r="H54" s="2260"/>
      <c r="I54" s="2287"/>
      <c r="J54" s="2287"/>
      <c r="K54" s="2257"/>
      <c r="L54" s="1365"/>
      <c r="P54" s="2258"/>
      <c r="Q54" s="2258"/>
      <c r="R54" s="358"/>
      <c r="S54" s="2344"/>
      <c r="T54" s="2347"/>
      <c r="U54" s="301"/>
      <c r="V54" s="1394"/>
      <c r="W54" s="1395" t="str">
        <f>X51&amp;"-"&amp;Z51</f>
        <v>-</v>
      </c>
      <c r="X54" s="1394"/>
      <c r="Y54" s="1394"/>
      <c r="Z54" s="1394"/>
      <c r="AA54" s="1394"/>
      <c r="AB54" s="2108"/>
      <c r="AC54" s="313"/>
      <c r="AD54" s="315"/>
      <c r="AE54" s="416" t="s">
        <v>486</v>
      </c>
      <c r="AF54" s="1394"/>
      <c r="AG54" s="1394"/>
      <c r="AH54" s="1394"/>
      <c r="AI54" s="1394"/>
      <c r="AJ54" s="1394"/>
      <c r="AK54" s="1394"/>
      <c r="AL54" s="1394"/>
      <c r="AM54" s="1394"/>
      <c r="AN54" s="1394"/>
      <c r="AO54" s="1395" t="str">
        <f>AP51&amp;"-"&amp;AR51</f>
        <v>-</v>
      </c>
      <c r="AP54" s="1394"/>
      <c r="AQ54" s="1394"/>
      <c r="AR54" s="1394"/>
      <c r="AS54" s="1394"/>
      <c r="AT54" s="1350"/>
      <c r="AU54" s="2255"/>
      <c r="AW54" s="501"/>
      <c r="AX54" s="501" t="str">
        <f>IF(T54="","",T54)</f>
        <v/>
      </c>
      <c r="AY54" s="501"/>
      <c r="AZ54" s="501"/>
      <c r="BA54" s="1156">
        <v>11</v>
      </c>
    </row>
    <row customHeight="1" ht="11.549999999999999">
      <c r="A55" s="1364" t="s">
        <v>217</v>
      </c>
      <c r="B55" s="1364" t="s">
        <v>218</v>
      </c>
      <c r="C55" s="1364" t="s">
        <v>219</v>
      </c>
      <c r="D55" s="1364" t="s">
        <v>220</v>
      </c>
      <c r="E55" s="2260"/>
      <c r="F55" s="2260"/>
      <c r="G55" s="2260"/>
      <c r="H55" s="2260"/>
      <c r="I55" s="2287"/>
      <c r="J55" s="2257"/>
      <c r="K55" s="1364"/>
      <c r="L55" s="1365"/>
      <c r="P55" s="2258"/>
      <c r="Q55" s="2258"/>
      <c r="R55" s="357"/>
      <c r="S55" s="1279"/>
      <c r="T55" s="288" t="s">
        <v>487</v>
      </c>
      <c r="U55" s="368"/>
      <c r="V55" s="368"/>
      <c r="W55" s="368"/>
      <c r="X55" s="368"/>
      <c r="Y55" s="368"/>
      <c r="Z55" s="368"/>
      <c r="AA55" s="325"/>
      <c r="AB55" s="1506"/>
      <c r="AC55" s="368"/>
      <c r="AD55" s="368"/>
      <c r="AE55" s="368"/>
      <c r="AF55" s="368"/>
      <c r="AG55" s="368"/>
      <c r="AH55" s="368"/>
      <c r="AI55" s="368"/>
      <c r="AJ55" s="368"/>
      <c r="AK55" s="368"/>
      <c r="AL55" s="368"/>
      <c r="AM55" s="368"/>
      <c r="AN55" s="368"/>
      <c r="AO55" s="368"/>
      <c r="AP55" s="368"/>
      <c r="AQ55" s="368"/>
      <c r="AR55" s="368"/>
      <c r="AS55" s="368"/>
      <c r="AT55" s="325"/>
      <c r="AU55" s="2256"/>
      <c r="AW55" s="501"/>
      <c r="AX55" s="501" t="str">
        <f>IF(T55="","",T55)</f>
        <v>Добавить строку</v>
      </c>
      <c r="AY55" s="501"/>
      <c r="AZ55" s="501"/>
      <c r="BA55" s="1156">
        <v>11</v>
      </c>
    </row>
    <row s="1643" customFormat="1" customHeight="1" ht="1.05">
      <c r="A56" s="1344" t="s">
        <v>217</v>
      </c>
      <c r="B56" s="1344" t="s">
        <v>218</v>
      </c>
      <c r="C56" s="1344" t="s">
        <v>219</v>
      </c>
      <c r="D56" s="1344" t="s">
        <v>220</v>
      </c>
      <c r="E56" s="2260"/>
      <c r="F56" s="2260"/>
      <c r="G56" s="2260"/>
      <c r="H56" s="2260"/>
      <c r="I56" s="2257"/>
      <c r="J56" s="1344"/>
      <c r="K56" s="1344"/>
      <c r="L56" s="1347"/>
      <c r="M56" s="511"/>
      <c r="N56" s="511"/>
      <c r="O56" s="511"/>
      <c r="P56" s="2258"/>
      <c r="Q56" s="1332"/>
      <c r="R56" s="357"/>
      <c r="S56" s="1387"/>
      <c r="T56" s="1388" t="s">
        <v>429</v>
      </c>
      <c r="U56" s="1389"/>
      <c r="V56" s="1389"/>
      <c r="W56" s="1389"/>
      <c r="X56" s="1389"/>
      <c r="Y56" s="1389"/>
      <c r="Z56" s="1389"/>
      <c r="AA56" s="1389"/>
      <c r="AB56" s="1389"/>
      <c r="AC56" s="1389"/>
      <c r="AD56" s="1389"/>
      <c r="AE56" s="1389"/>
      <c r="AF56" s="1389"/>
      <c r="AG56" s="1389"/>
      <c r="AH56" s="1389"/>
      <c r="AI56" s="1389"/>
      <c r="AJ56" s="1389"/>
      <c r="AK56" s="1389"/>
      <c r="AL56" s="1389"/>
      <c r="AM56" s="1389"/>
      <c r="AN56" s="1389"/>
      <c r="AO56" s="1389"/>
      <c r="AP56" s="1389"/>
      <c r="AQ56" s="1389"/>
      <c r="AR56" s="1389"/>
      <c r="AS56" s="1389"/>
      <c r="AT56" s="1389"/>
      <c r="AU56" s="1390"/>
      <c r="AW56" s="501"/>
      <c r="AX56" s="501" t="str">
        <f>IF(T56="","",T56)</f>
        <v>Добавить группу потребителей</v>
      </c>
      <c r="AY56" s="501"/>
      <c r="AZ56" s="501"/>
      <c r="BA56" s="512">
        <v>1</v>
      </c>
    </row>
    <row s="1642" customFormat="1" customHeight="1" ht="1.05">
      <c r="A57" s="1344" t="s">
        <v>217</v>
      </c>
      <c r="B57" s="1344" t="s">
        <v>218</v>
      </c>
      <c r="C57" s="1344" t="s">
        <v>219</v>
      </c>
      <c r="D57" s="1344" t="s">
        <v>220</v>
      </c>
      <c r="E57" s="2260"/>
      <c r="F57" s="2260"/>
      <c r="G57" s="2260"/>
      <c r="H57" s="2259"/>
      <c r="I57" s="1344"/>
      <c r="J57" s="1344"/>
      <c r="K57" s="1344"/>
      <c r="L57" s="1347"/>
      <c r="M57" s="1316"/>
      <c r="N57" s="1316"/>
      <c r="O57" s="519"/>
      <c r="P57" s="381"/>
      <c r="Q57" s="1345"/>
      <c r="R57" s="1401"/>
      <c r="S57" s="1387"/>
      <c r="T57" s="1388"/>
      <c r="U57" s="1389"/>
      <c r="V57" s="1389"/>
      <c r="W57" s="1389"/>
      <c r="X57" s="1389"/>
      <c r="Y57" s="1389"/>
      <c r="Z57" s="1389"/>
      <c r="AA57" s="1389"/>
      <c r="AB57" s="1389"/>
      <c r="AC57" s="1389"/>
      <c r="AD57" s="1389"/>
      <c r="AE57" s="1389"/>
      <c r="AF57" s="1389"/>
      <c r="AG57" s="1389"/>
      <c r="AH57" s="1389"/>
      <c r="AI57" s="1389"/>
      <c r="AJ57" s="1389"/>
      <c r="AK57" s="1389"/>
      <c r="AL57" s="1389"/>
      <c r="AM57" s="1389"/>
      <c r="AN57" s="1389"/>
      <c r="AO57" s="1389"/>
      <c r="AP57" s="1389"/>
      <c r="AQ57" s="1389"/>
      <c r="AR57" s="1389"/>
      <c r="AS57" s="1389"/>
      <c r="AT57" s="1389"/>
      <c r="AU57" s="1390"/>
      <c r="AV57" s="512"/>
      <c r="AW57" s="501"/>
      <c r="AX57" s="501" t="str">
        <f>IF(T57="","",T57)</f>
        <v/>
      </c>
      <c r="AY57" s="501"/>
      <c r="AZ57" s="501"/>
      <c r="BA57" s="497">
        <v>1</v>
      </c>
    </row>
    <row s="1643" customFormat="1" customHeight="1" ht="1.05">
      <c r="A58" s="1344" t="s">
        <v>217</v>
      </c>
      <c r="B58" s="1344" t="s">
        <v>218</v>
      </c>
      <c r="C58" s="1344" t="s">
        <v>219</v>
      </c>
      <c r="D58" s="1315"/>
      <c r="E58" s="2260"/>
      <c r="F58" s="2260"/>
      <c r="G58" s="2259"/>
      <c r="H58" s="1315"/>
      <c r="I58" s="1315"/>
      <c r="J58" s="1315"/>
      <c r="K58" s="1315"/>
      <c r="L58" s="1340"/>
      <c r="M58" s="1316"/>
      <c r="N58" s="1316"/>
      <c r="P58" s="1317"/>
      <c r="Q58" s="1318"/>
      <c r="R58" s="1317"/>
      <c r="S58" s="1323"/>
      <c r="T58" s="1326" t="s">
        <v>176</v>
      </c>
      <c r="U58" s="1325"/>
      <c r="V58" s="1325"/>
      <c r="W58" s="1325"/>
      <c r="X58" s="1325"/>
      <c r="Y58" s="1325"/>
      <c r="Z58" s="1325"/>
      <c r="AA58" s="1325"/>
      <c r="AB58" s="1325"/>
      <c r="AC58" s="1325"/>
      <c r="AD58" s="1325"/>
      <c r="AE58" s="1325"/>
      <c r="AF58" s="1325"/>
      <c r="AG58" s="1325"/>
      <c r="AH58" s="1325"/>
      <c r="AI58" s="1325"/>
      <c r="AJ58" s="1325"/>
      <c r="AK58" s="1325"/>
      <c r="AL58" s="1325"/>
      <c r="AM58" s="1325"/>
      <c r="AN58" s="1325"/>
      <c r="AO58" s="1325"/>
      <c r="AP58" s="1325"/>
      <c r="AQ58" s="1325"/>
      <c r="AR58" s="1325"/>
      <c r="AS58" s="1325"/>
      <c r="AT58" s="1325"/>
      <c r="AU58" s="1325"/>
      <c r="AW58" s="790"/>
      <c r="AX58" s="790" t="str">
        <f>IF(T58="","",T58)</f>
        <v>Добавить источник для дифференциации</v>
      </c>
      <c r="AY58" s="790"/>
      <c r="AZ58" s="790"/>
      <c r="BA58" s="519">
        <v>1</v>
      </c>
    </row>
    <row s="1643" customFormat="1" customHeight="1" ht="1.05">
      <c r="A59" s="1344" t="s">
        <v>217</v>
      </c>
      <c r="B59" s="1344" t="s">
        <v>218</v>
      </c>
      <c r="C59" s="1315"/>
      <c r="D59" s="1315"/>
      <c r="E59" s="2260"/>
      <c r="F59" s="2259"/>
      <c r="G59" s="1315"/>
      <c r="H59" s="1315"/>
      <c r="I59" s="1315"/>
      <c r="J59" s="1315"/>
      <c r="K59" s="1315"/>
      <c r="L59" s="1340"/>
      <c r="M59" s="1322"/>
      <c r="N59" s="1322"/>
      <c r="P59" s="1317"/>
      <c r="Q59" s="1318"/>
      <c r="R59" s="1317"/>
      <c r="S59" s="1323"/>
      <c r="T59" s="1326" t="s">
        <v>177</v>
      </c>
      <c r="U59" s="1325"/>
      <c r="V59" s="1325"/>
      <c r="W59" s="1325"/>
      <c r="X59" s="1325"/>
      <c r="Y59" s="1325"/>
      <c r="Z59" s="1325"/>
      <c r="AA59" s="1325"/>
      <c r="AB59" s="1325"/>
      <c r="AC59" s="1325"/>
      <c r="AD59" s="1325"/>
      <c r="AE59" s="1325"/>
      <c r="AF59" s="1325"/>
      <c r="AG59" s="1325"/>
      <c r="AH59" s="1325"/>
      <c r="AI59" s="1325"/>
      <c r="AJ59" s="1325"/>
      <c r="AK59" s="1325"/>
      <c r="AL59" s="1325"/>
      <c r="AM59" s="1325"/>
      <c r="AN59" s="1325"/>
      <c r="AO59" s="1325"/>
      <c r="AP59" s="1325"/>
      <c r="AQ59" s="1325"/>
      <c r="AR59" s="1325"/>
      <c r="AS59" s="1325"/>
      <c r="AT59" s="1325"/>
      <c r="AU59" s="1325"/>
      <c r="AW59" s="790"/>
      <c r="AX59" s="790" t="str">
        <f>IF(T59="","",T59)</f>
        <v>Добавить централизованную систему для дифференциации</v>
      </c>
      <c r="AY59" s="790"/>
      <c r="AZ59" s="790"/>
      <c r="BA59" s="519">
        <v>1</v>
      </c>
    </row>
    <row s="1643" customFormat="1" customHeight="1" ht="1.05">
      <c r="A60" s="1344" t="s">
        <v>217</v>
      </c>
      <c r="B60" s="1344"/>
      <c r="C60" s="1344"/>
      <c r="D60" s="1344"/>
      <c r="E60" s="2260"/>
      <c r="F60" s="1344"/>
      <c r="G60" s="1344"/>
      <c r="H60" s="1344"/>
      <c r="I60" s="1344"/>
      <c r="J60" s="1344"/>
      <c r="K60" s="1344"/>
      <c r="L60" s="1347"/>
      <c r="M60" s="1322"/>
      <c r="N60" s="1322"/>
      <c r="O60" s="519"/>
      <c r="P60" s="381"/>
      <c r="Q60" s="1345"/>
      <c r="R60" s="381"/>
      <c r="S60" s="1323"/>
      <c r="T60" s="1326" t="s">
        <v>178</v>
      </c>
      <c r="U60" s="1325"/>
      <c r="V60" s="1325"/>
      <c r="W60" s="1325"/>
      <c r="X60" s="1325"/>
      <c r="Y60" s="1325"/>
      <c r="Z60" s="1325"/>
      <c r="AA60" s="1325"/>
      <c r="AB60" s="1325"/>
      <c r="AC60" s="1325"/>
      <c r="AD60" s="1325"/>
      <c r="AE60" s="1325"/>
      <c r="AF60" s="1325"/>
      <c r="AG60" s="1325"/>
      <c r="AH60" s="1325"/>
      <c r="AI60" s="1325"/>
      <c r="AJ60" s="1325"/>
      <c r="AK60" s="1325"/>
      <c r="AL60" s="1325"/>
      <c r="AM60" s="1325"/>
      <c r="AN60" s="1325"/>
      <c r="AO60" s="1325"/>
      <c r="AP60" s="1325"/>
      <c r="AQ60" s="1325"/>
      <c r="AR60" s="1325"/>
      <c r="AS60" s="1325"/>
      <c r="AT60" s="1325"/>
      <c r="AU60" s="1325"/>
      <c r="AW60" s="501"/>
      <c r="AX60" s="501" t="str">
        <f>IF(T60="","",T60)</f>
        <v>Добавить территорию для дифференциации</v>
      </c>
      <c r="AY60" s="501"/>
      <c r="AZ60" s="501"/>
      <c r="BA60" s="512">
        <v>1</v>
      </c>
    </row>
    <row s="1643" customFormat="1" customHeight="1" ht="1.05">
      <c r="A61" s="1344" t="s">
        <v>217</v>
      </c>
      <c r="B61" s="1344"/>
      <c r="C61" s="1344"/>
      <c r="D61" s="1344"/>
      <c r="E61" s="2259"/>
      <c r="F61" s="1344"/>
      <c r="G61" s="1344"/>
      <c r="H61" s="1344"/>
      <c r="I61" s="1344"/>
      <c r="J61" s="1344"/>
      <c r="K61" s="1344"/>
      <c r="L61" s="1347"/>
      <c r="M61" s="1322"/>
      <c r="N61" s="1322"/>
      <c r="O61" s="519"/>
      <c r="P61" s="381"/>
      <c r="Q61" s="1345"/>
      <c r="R61" s="381"/>
      <c r="S61" s="1323"/>
      <c r="T61" s="1326" t="s">
        <v>178</v>
      </c>
      <c r="U61" s="1325"/>
      <c r="V61" s="1325"/>
      <c r="W61" s="1325"/>
      <c r="X61" s="1325"/>
      <c r="Y61" s="1325"/>
      <c r="Z61" s="1325"/>
      <c r="AA61" s="1325"/>
      <c r="AB61" s="1325"/>
      <c r="AC61" s="1325"/>
      <c r="AD61" s="1325"/>
      <c r="AE61" s="1325"/>
      <c r="AF61" s="1325"/>
      <c r="AG61" s="1325"/>
      <c r="AH61" s="1325"/>
      <c r="AI61" s="1325"/>
      <c r="AJ61" s="1325"/>
      <c r="AK61" s="1325"/>
      <c r="AL61" s="1325"/>
      <c r="AM61" s="1325"/>
      <c r="AN61" s="1325"/>
      <c r="AO61" s="1325"/>
      <c r="AP61" s="1325"/>
      <c r="AQ61" s="1325"/>
      <c r="AR61" s="1325"/>
      <c r="AS61" s="1325"/>
      <c r="AT61" s="1325"/>
      <c r="AU61" s="1325"/>
      <c r="AW61" s="501"/>
      <c r="AX61" s="501" t="str">
        <f>IF(T61="","",T61)</f>
        <v>Добавить территорию для дифференциации</v>
      </c>
      <c r="AY61" s="501"/>
      <c r="AZ61" s="501"/>
      <c r="BA61" s="512">
        <v>1</v>
      </c>
    </row>
    <row s="1643" customFormat="1" customHeight="1" ht="1.05">
      <c r="A62" s="1315"/>
      <c r="B62" s="1315"/>
      <c r="C62" s="1315"/>
      <c r="D62" s="1315"/>
      <c r="E62" s="1344"/>
      <c r="F62" s="1315"/>
      <c r="G62" s="1315"/>
      <c r="H62" s="1315"/>
      <c r="I62" s="1315"/>
      <c r="J62" s="1315"/>
      <c r="K62" s="1315"/>
      <c r="L62" s="1340"/>
      <c r="M62" s="1322"/>
      <c r="N62" s="1322"/>
      <c r="P62" s="1317"/>
      <c r="Q62" s="1318"/>
      <c r="R62" s="1317"/>
      <c r="S62" s="1323"/>
      <c r="T62" s="1326" t="s">
        <v>184</v>
      </c>
      <c r="U62" s="1325"/>
      <c r="V62" s="1325"/>
      <c r="W62" s="1325"/>
      <c r="X62" s="1325"/>
      <c r="Y62" s="1325"/>
      <c r="Z62" s="1325"/>
      <c r="AA62" s="1325"/>
      <c r="AB62" s="1325"/>
      <c r="AC62" s="1325"/>
      <c r="AD62" s="1325"/>
      <c r="AE62" s="1325"/>
      <c r="AF62" s="1325"/>
      <c r="AG62" s="1325"/>
      <c r="AH62" s="1325"/>
      <c r="AI62" s="1325"/>
      <c r="AJ62" s="1325"/>
      <c r="AK62" s="1325"/>
      <c r="AL62" s="1325"/>
      <c r="AM62" s="1325"/>
      <c r="AN62" s="1325"/>
      <c r="AO62" s="1325"/>
      <c r="AP62" s="1325"/>
      <c r="AQ62" s="1325"/>
      <c r="AR62" s="1325"/>
      <c r="AS62" s="1325"/>
      <c r="AT62" s="1325"/>
      <c r="AU62" s="1325"/>
      <c r="AW62" s="790"/>
      <c r="AX62" s="790" t="str">
        <f>IF(T62="","",T62)</f>
        <v>Добавить наименование тарифа</v>
      </c>
      <c r="AY62" s="790"/>
      <c r="AZ62" s="790"/>
      <c r="BA62" s="519">
        <v>1</v>
      </c>
    </row>
    <row customHeight="1" ht="11.549999999999999">
      <c r="M63" s="1161"/>
      <c r="N63" s="1161"/>
      <c r="O63" s="538"/>
      <c r="P63" s="1161"/>
      <c r="Q63" s="1161"/>
      <c r="R63" s="1156"/>
      <c r="S63" s="1156"/>
      <c r="AV63" s="1156"/>
      <c r="AW63" s="1156"/>
      <c r="AX63" s="1156"/>
      <c r="AY63" s="1156"/>
      <c r="AZ63" s="1156"/>
      <c r="BA63" s="1156">
        <v>11</v>
      </c>
    </row>
    <row customHeight="1" ht="19.95">
      <c r="O64" s="538"/>
      <c r="S64" s="1254"/>
      <c r="T64" s="2286"/>
      <c r="U64" s="2286"/>
      <c r="V64" s="2286"/>
      <c r="W64" s="2286"/>
      <c r="X64" s="2286"/>
      <c r="Y64" s="2286"/>
      <c r="Z64" s="2286"/>
      <c r="AA64" s="2286"/>
      <c r="AB64" s="2286"/>
      <c r="AC64" s="2286"/>
      <c r="AD64" s="2286"/>
      <c r="AE64" s="2286"/>
      <c r="AF64" s="2286"/>
      <c r="AG64" s="2286"/>
      <c r="AH64" s="2286"/>
      <c r="AI64" s="2286"/>
      <c r="AJ64" s="2286"/>
      <c r="AK64" s="2286"/>
      <c r="AL64" s="2286"/>
      <c r="AM64" s="2286"/>
      <c r="AN64" s="2286"/>
      <c r="AO64" s="2286"/>
      <c r="AP64" s="2286"/>
      <c r="AQ64" s="2286"/>
      <c r="AR64" s="2286"/>
      <c r="AS64" s="2286"/>
      <c r="AT64" s="2286"/>
      <c r="AU64" s="2286"/>
      <c r="BA64" s="1156">
        <v>19</v>
      </c>
    </row>
    <row customHeight="1" ht="21">
      <c r="O65" s="538"/>
      <c r="T65" s="2286"/>
      <c r="U65" s="2286"/>
      <c r="V65" s="2286"/>
      <c r="W65" s="2286"/>
      <c r="X65" s="2286"/>
      <c r="Y65" s="2286"/>
      <c r="Z65" s="2286"/>
      <c r="AA65" s="2286"/>
      <c r="AB65" s="2286"/>
      <c r="AC65" s="2286"/>
      <c r="AD65" s="2286"/>
      <c r="AE65" s="2286"/>
      <c r="AF65" s="2286"/>
      <c r="AG65" s="2286"/>
      <c r="AH65" s="2286"/>
      <c r="AI65" s="2286"/>
      <c r="AJ65" s="2286"/>
      <c r="AK65" s="2286"/>
      <c r="AL65" s="2286"/>
      <c r="AM65" s="2286"/>
      <c r="AN65" s="2286"/>
      <c r="AO65" s="2286"/>
      <c r="AP65" s="2286"/>
      <c r="AQ65" s="2286"/>
      <c r="AR65" s="2286"/>
      <c r="AS65" s="2286"/>
      <c r="AT65" s="2286"/>
      <c r="AU65" s="2286"/>
      <c r="BA65" s="1156">
        <v>20</v>
      </c>
    </row>
    <row customHeight="1" ht="14.699999999999998">
      <c r="O66" s="538"/>
      <c r="T66" s="1334"/>
      <c r="U66" s="1334"/>
      <c r="V66" s="1334"/>
      <c r="W66" s="1334"/>
      <c r="X66" s="1334"/>
      <c r="Y66" s="1334"/>
      <c r="Z66" s="1334"/>
      <c r="AA66" s="1334"/>
      <c r="AB66" s="1334"/>
      <c r="AC66" s="1334"/>
      <c r="AD66" s="1334"/>
      <c r="AE66" s="1334"/>
      <c r="AF66" s="1334"/>
      <c r="AG66" s="1334"/>
      <c r="AH66" s="1334"/>
      <c r="AI66" s="1334"/>
      <c r="AJ66" s="1334"/>
      <c r="AK66" s="1334"/>
      <c r="AL66" s="1334"/>
      <c r="AM66" s="1334"/>
      <c r="AN66" s="1334"/>
      <c r="AO66" s="1334"/>
      <c r="AP66" s="1334"/>
      <c r="AQ66" s="1334"/>
      <c r="AR66" s="1334"/>
      <c r="AS66" s="1334"/>
      <c r="AT66" s="1334"/>
      <c r="AU66" s="1334"/>
      <c r="BA66" s="1156">
        <v>14</v>
      </c>
    </row>
    <row customHeight="1" ht="19.95">
      <c r="O67" s="538"/>
      <c r="T67" s="2286"/>
      <c r="U67" s="2286"/>
      <c r="V67" s="2286"/>
      <c r="W67" s="2286"/>
      <c r="X67" s="2286"/>
      <c r="Y67" s="2286"/>
      <c r="Z67" s="2286"/>
      <c r="AA67" s="2286"/>
      <c r="AB67" s="2286"/>
      <c r="AC67" s="2286"/>
      <c r="AD67" s="2286"/>
      <c r="AE67" s="2286"/>
      <c r="AF67" s="2286"/>
      <c r="AG67" s="2286"/>
      <c r="AH67" s="2286"/>
      <c r="AI67" s="2286"/>
      <c r="AJ67" s="2286"/>
      <c r="AK67" s="2286"/>
      <c r="AL67" s="2286"/>
      <c r="AM67" s="2286"/>
      <c r="AN67" s="2286"/>
      <c r="AO67" s="2286"/>
      <c r="AP67" s="2286"/>
      <c r="AQ67" s="2286"/>
      <c r="AR67" s="2286"/>
      <c r="AS67" s="2286"/>
      <c r="AT67" s="2286"/>
      <c r="AU67" s="2286"/>
      <c r="BA67" s="1156">
        <v>19</v>
      </c>
    </row>
    <row customHeight="1" ht="16.8">
      <c r="O68" s="538"/>
      <c r="T68" s="2286"/>
      <c r="U68" s="2286"/>
      <c r="V68" s="2286"/>
      <c r="W68" s="2286"/>
      <c r="X68" s="2286"/>
      <c r="Y68" s="2286"/>
      <c r="Z68" s="2286"/>
      <c r="AA68" s="2286"/>
      <c r="AB68" s="2286"/>
      <c r="AC68" s="2286"/>
      <c r="AD68" s="2286"/>
      <c r="AE68" s="2286"/>
      <c r="AF68" s="2286"/>
      <c r="AG68" s="2286"/>
      <c r="AH68" s="2286"/>
      <c r="AI68" s="2286"/>
      <c r="AJ68" s="2286"/>
      <c r="AK68" s="2286"/>
      <c r="AL68" s="2286"/>
      <c r="AM68" s="2286"/>
      <c r="AN68" s="2286"/>
      <c r="AO68" s="2286"/>
      <c r="AP68" s="2286"/>
      <c r="AQ68" s="2286"/>
      <c r="AR68" s="2286"/>
      <c r="AS68" s="2286"/>
      <c r="AT68" s="2286"/>
      <c r="AU68" s="2286"/>
      <c r="BA68" s="1156">
        <v>16</v>
      </c>
    </row>
    <row customHeight="1" ht="14.699999999999998">
      <c r="O69" s="538"/>
      <c r="BA69" s="1156">
        <v>14</v>
      </c>
    </row>
    <row customHeight="1" ht="22.5" hidden="1">
      <c r="A70" s="1161" t="s">
        <v>83</v>
      </c>
      <c r="B70" s="1161">
        <v>0</v>
      </c>
      <c r="C70" s="1161">
        <v>0</v>
      </c>
      <c r="D70" s="1161">
        <v>0</v>
      </c>
      <c r="E70" s="1161">
        <v>0</v>
      </c>
      <c r="F70" s="1161">
        <v>0</v>
      </c>
      <c r="G70" s="1161">
        <v>0</v>
      </c>
      <c r="H70" s="1161">
        <v>0</v>
      </c>
      <c r="I70" s="1161">
        <v>0</v>
      </c>
      <c r="J70" s="1161">
        <v>0</v>
      </c>
      <c r="K70" s="1161">
        <v>0</v>
      </c>
      <c r="L70" s="1330">
        <v>0</v>
      </c>
      <c r="M70" s="1363">
        <v>0</v>
      </c>
      <c r="N70" s="1363">
        <v>0</v>
      </c>
      <c r="O70" s="1363">
        <v>0</v>
      </c>
      <c r="P70" s="1363">
        <v>3</v>
      </c>
      <c r="Q70" s="1372">
        <v>3</v>
      </c>
      <c r="R70" s="345">
        <v>3</v>
      </c>
      <c r="S70" s="582">
        <v>12</v>
      </c>
      <c r="T70" s="1156">
        <v>31</v>
      </c>
      <c r="U70" s="1156">
        <v>0</v>
      </c>
      <c r="V70" s="1156">
        <v>0</v>
      </c>
      <c r="W70" s="1156">
        <v>0</v>
      </c>
      <c r="X70" s="1156">
        <v>0</v>
      </c>
      <c r="Y70" s="1156">
        <v>0</v>
      </c>
      <c r="Z70" s="1156">
        <v>0</v>
      </c>
      <c r="AA70" s="1156">
        <v>0</v>
      </c>
      <c r="AB70" s="1156">
        <v>5</v>
      </c>
      <c r="AC70" s="1156">
        <v>3</v>
      </c>
      <c r="AD70" s="1156">
        <v>3</v>
      </c>
      <c r="AE70" s="1156">
        <v>24</v>
      </c>
      <c r="AF70" s="1156">
        <v>3</v>
      </c>
      <c r="AG70" s="1156">
        <v>3</v>
      </c>
      <c r="AH70" s="1156">
        <v>3</v>
      </c>
      <c r="AI70" s="1156">
        <v>24</v>
      </c>
      <c r="AJ70" s="1156">
        <v>3</v>
      </c>
      <c r="AK70" s="1156">
        <v>3</v>
      </c>
      <c r="AL70" s="1156">
        <v>3</v>
      </c>
      <c r="AM70" s="1156">
        <v>18</v>
      </c>
      <c r="AN70" s="1156">
        <v>21</v>
      </c>
      <c r="AO70" s="1156">
        <v>21</v>
      </c>
      <c r="AP70" s="1156">
        <v>11</v>
      </c>
      <c r="AQ70" s="1156">
        <v>3</v>
      </c>
      <c r="AR70" s="1156">
        <v>11</v>
      </c>
      <c r="AS70" s="1156">
        <v>8</v>
      </c>
      <c r="AT70" s="1156">
        <v>4</v>
      </c>
      <c r="AU70" s="1156">
        <v>115</v>
      </c>
      <c r="AV70" s="512">
        <v>10</v>
      </c>
      <c r="AW70" s="512">
        <v>10</v>
      </c>
      <c r="AX70" s="512">
        <v>10</v>
      </c>
      <c r="AY70" s="512">
        <v>10</v>
      </c>
      <c r="AZ70" s="512">
        <v>10</v>
      </c>
      <c r="BA70" s="1156">
        <v>23</v>
      </c>
    </row>
  </sheetData>
  <sheetProtection formatColumns="0" formatRows="0" autoFilter="0" sort="0" insertRows="0" insertColumns="1" deleteRows="0" deleteColumns="0"/>
  <mergeCells count="119">
    <mergeCell ref="T67:AU67"/>
    <mergeCell ref="T68:AU68"/>
    <mergeCell ref="AI51:AI52"/>
    <mergeCell ref="AJ51:AJ52"/>
    <mergeCell ref="AJ40:AM43"/>
    <mergeCell ref="AD51:AD53"/>
    <mergeCell ref="AE51:AE53"/>
    <mergeCell ref="AF51:AF53"/>
    <mergeCell ref="AG51:AG52"/>
    <mergeCell ref="AH51:AH52"/>
    <mergeCell ref="T64:AU64"/>
    <mergeCell ref="T65:AU65"/>
    <mergeCell ref="T51:T54"/>
    <mergeCell ref="AB51:AB54"/>
    <mergeCell ref="AC51:AC53"/>
    <mergeCell ref="AU39:AU43"/>
    <mergeCell ref="T40:T43"/>
    <mergeCell ref="V40:Z40"/>
    <mergeCell ref="AU51:AU55"/>
    <mergeCell ref="Y44:Z44"/>
    <mergeCell ref="AQ44:AR44"/>
    <mergeCell ref="X41:Z42"/>
    <mergeCell ref="Y43:Z43"/>
    <mergeCell ref="AQ43:AR43"/>
    <mergeCell ref="E2:E17"/>
    <mergeCell ref="F3:F16"/>
    <mergeCell ref="G4:G15"/>
    <mergeCell ref="H5:H14"/>
    <mergeCell ref="V5:AA5"/>
    <mergeCell ref="X8:X11"/>
    <mergeCell ref="Y8:Y11"/>
    <mergeCell ref="Z8:Z11"/>
    <mergeCell ref="AA8:AA11"/>
    <mergeCell ref="V2:AA2"/>
    <mergeCell ref="I6:I13"/>
    <mergeCell ref="P6:P13"/>
    <mergeCell ref="V6:AA6"/>
    <mergeCell ref="J7:J12"/>
    <mergeCell ref="Q7:Q12"/>
    <mergeCell ref="V7:AA7"/>
    <mergeCell ref="K8:K11"/>
    <mergeCell ref="S8:S11"/>
    <mergeCell ref="T8:T11"/>
    <mergeCell ref="R8:R11"/>
    <mergeCell ref="E45:E61"/>
    <mergeCell ref="V45:AA45"/>
    <mergeCell ref="AB45:AT45"/>
    <mergeCell ref="F46:F59"/>
    <mergeCell ref="V46:AA46"/>
    <mergeCell ref="AB46:AT46"/>
    <mergeCell ref="G47:G58"/>
    <mergeCell ref="V47:AA47"/>
    <mergeCell ref="AB47:AT47"/>
    <mergeCell ref="H48:H57"/>
    <mergeCell ref="V48:AA48"/>
    <mergeCell ref="AB48:AT48"/>
    <mergeCell ref="I49:I56"/>
    <mergeCell ref="P49:P56"/>
    <mergeCell ref="V49:AA49"/>
    <mergeCell ref="AB49:AT49"/>
    <mergeCell ref="J50:J55"/>
    <mergeCell ref="Q50:Q55"/>
    <mergeCell ref="V50:AA50"/>
    <mergeCell ref="AB50:AT50"/>
    <mergeCell ref="K51:K54"/>
    <mergeCell ref="S51:S54"/>
    <mergeCell ref="AP41:AR42"/>
    <mergeCell ref="S40:S43"/>
    <mergeCell ref="S39:AT39"/>
    <mergeCell ref="AN40:AR40"/>
    <mergeCell ref="AB40:AE43"/>
    <mergeCell ref="AF40:AI43"/>
    <mergeCell ref="S35:T35"/>
    <mergeCell ref="V35:Z35"/>
    <mergeCell ref="AB35:AR35"/>
    <mergeCell ref="V38:AA38"/>
    <mergeCell ref="AB38:AS38"/>
    <mergeCell ref="AA40:AA43"/>
    <mergeCell ref="AS40:AS43"/>
    <mergeCell ref="AT40:AT43"/>
    <mergeCell ref="AN41:AO41"/>
    <mergeCell ref="AN42:AO42"/>
    <mergeCell ref="V41:W41"/>
    <mergeCell ref="V42:W42"/>
    <mergeCell ref="AB2:AT2"/>
    <mergeCell ref="V3:AA3"/>
    <mergeCell ref="AB3:AT3"/>
    <mergeCell ref="V4:AA4"/>
    <mergeCell ref="AB4:AT4"/>
    <mergeCell ref="AB5:AT5"/>
    <mergeCell ref="AB6:AT6"/>
    <mergeCell ref="AB7:AT7"/>
    <mergeCell ref="S36:T36"/>
    <mergeCell ref="V36:Z36"/>
    <mergeCell ref="AB36:AR36"/>
    <mergeCell ref="S27:AR27"/>
    <mergeCell ref="S28:AR28"/>
    <mergeCell ref="S30:T30"/>
    <mergeCell ref="V30:Z30"/>
    <mergeCell ref="AB30:AR30"/>
    <mergeCell ref="S31:T31"/>
    <mergeCell ref="V31:Z31"/>
    <mergeCell ref="AB31:AR31"/>
    <mergeCell ref="AE8:AE10"/>
    <mergeCell ref="AF8:AF10"/>
    <mergeCell ref="AG8:AG9"/>
    <mergeCell ref="AH8:AH9"/>
    <mergeCell ref="AU8:AU12"/>
    <mergeCell ref="AJ8:AJ9"/>
    <mergeCell ref="AB8:AB11"/>
    <mergeCell ref="AC8:AC10"/>
    <mergeCell ref="AD8:AD10"/>
    <mergeCell ref="AI8:AI9"/>
    <mergeCell ref="S33:T33"/>
    <mergeCell ref="V33:Z33"/>
    <mergeCell ref="AB33:AR33"/>
    <mergeCell ref="S32:T32"/>
    <mergeCell ref="V32:Z32"/>
    <mergeCell ref="AB32:AR32"/>
  </mergeCells>
  <dataValidations count="10">
    <dataValidation allowBlank="1" errorTitle="Ошибка" error="Выберите значение из списка" sqref="V42:W42"/>
    <dataValidation type="list" allowBlank="1" showInputMessage="1" showErrorMessage="1" errorTitle="Ошибка" error="Выберите значение из списка" prompt="Выберите значение из списка" sqref="AN42:AO42">
      <formula1>UNIT_CONNECT_LIST</formula1>
    </dataValidation>
    <dataValidation type="list" allowBlank="1" showInputMessage="1" errorTitle="Ошибка" error="Выберите значение из списка" prompt="Выберите значение из списка" sqref="V917557:AT917557 V983093:AT983093 V65589:AT65589 V131125:AT131125 V196661:AT196661 V262197:AT262197 V327733:AT327733 V393269:AT393269 V458805:AT458805 V524341:AT524341 V589877:AT589877 V655413:AT655413 V720949:AT720949 V786485:AT786485 V852021:AT852021">
      <formula1>kind_of_cons</formula1>
    </dataValidation>
    <dataValidation allowBlank="1" sqref="S131128:AU131134 S196664:AU196670 S262200:AU262206 S327736:AU327742 S393272:AU393278 S458808:AU458814 S524344:AU524350 S589880:AU589886 S655416:AU655422 S720952:AU720958 S786488:AU786494 S852024:AU852030 S917560:AU917566 S983096:AU983102 S65592:AU65598"/>
    <dataValidation type="list" allowBlank="1" showInputMessage="1" showErrorMessage="1" errorTitle="Ошибка" error="Выберите значение из списка" sqref="T65590 T131126 T196662 T262198 T327734 T393270 T458806 T524342 T589878 T655414 T720950 T786486 T852022 T917558 T983094">
      <formula1>kind_of_heat_transfer</formula1>
    </dataValidation>
    <dataValidation type="list" allowBlank="1" showInputMessage="1" showErrorMessage="1" errorTitle="Ошибка" error="Выберите значение из списка" sqref="AB983092:AM983092 AB65588:AM65588 AB131124:AM131124 AB196660:AM196660 AB262196:AM262196 AB327732:AM327732 AB393268:AM393268 AB458804:AM458804 AB524340:AM524340 AB589876:AM589876 AB655412:AM655412 AB720948:AM720948 AB786484:AM786484 AB852020:AM852020 AB917556:AM917556">
      <formula1>kind_of_scheme_in</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X65590 X131126 X196662 X262198 X327734 X393270 X458806 X524342 X589878 X655414 X720950 X786486 X852022 X917558 X983094 Z65590 Z131126 Z196662 Z262198 Z327734 Z393270 Z458806 Z524342 Z589878 Z655414 Z720950 Z786486 Z852022 Z917558 Z983094 X8:X10 Z8:Z10 AP65590 AP131126 AP196662 AP262198 AP327734 AP393270 AP458806 AP524342 AP589878 AP655414 AP720950 AP786486 AP852022 AP917558 AP983094 AR65590 AR131126 AR196662 AR262198 AR327734 AR393270 AR458806 AR524342 AR589878 AR655414 AR720950 AR786486 AR852022 AR917558 AR983094 AR8 AR51 AR19 AP19 AP8 AP51 Z51 X51"/>
    <dataValidation allowBlank="1" promptTitle="checkPeriodRange" sqref="W65591 W131127 W196663 W262199 W327735 W393271 W458807 W524343 W589879 W655415 W720951 W786487 W852023 W917559 W983095 AO54 W11 AO65591 AO131127 AO196663 AO262199 AO327735 AO393271 AO458807 AO524343 AO589879 AO655415 AO720951 AO786487 AO852023 AO917559 AO983095 AO11 W54"/>
    <dataValidation type="textLength" operator="lessThanOrEqual" allowBlank="1" showInputMessage="1" showErrorMessage="1" errorTitle="Ошибка" error="Допускается ввод не более 900 символов!" sqref="AU65584:AU65591 AU131120:AU131127 AU196656:AU196663 AU262192:AU262199 AU327728:AU327735 AU393264:AU393271 AU458800:AU458807 AU524336:AU524343 AU589872:AU589879 AU655408:AU655415 AU720944:AU720951 AU786480:AU786487 AU852016:AU852023 AU917552:AU917559 AU983088:AU983095 T8:T11 T51:T54">
      <formula1>900</formula1>
    </dataValidation>
    <dataValidation allowBlank="1" showInputMessage="1" showErrorMessage="1" prompt="Для выбора выполните двойной щелчок левой клавиши мыши по соответствующей ячейке." sqref="Y65590 Y131126 Y196662 Y262198 Y327734 Y393270 Y458806 Y524342 Y589878 Y655414 Y720950 Y786486 Y852022 Y917558 Y983094 AA131126 AA458806 AA196662 AA262198 AA327734 AA393270 AA524342 AA589878 AA655414 AA720950 AA786486 AA852022 AA917558 AA983094 AA65590 AA8:AA10 Y8:Y10 AQ65590 AQ131126 AQ196662 AQ262198 AQ327734 AQ393270 AQ458806 AQ524342 AQ589878 AQ655414 AQ720950 AQ786486 AQ852022 AQ917558 AQ983094 AS131126 AS458806 AS196662 AS262198 AS327734 AS393270 AS524342 AS589878 AS655414 AS720950 AS786486 AS852022 AS917558 AS983094 AS65590 AQ8 AB8 AE8:AF8 AI8:AJ8 AQ19 AS51 AS19 AB19 AE19:AF19 AI19:AJ19 AI51:AJ51 AE51:AF51 AA51:AB51 AS8 AQ51 Y51"/>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36B8597F-FB28-774F-413A-B32174EE2AD8}" mc:Ignorable="x14ac xr xr2 xr3">
  <sheetPr>
    <tabColor theme="6" tint="0.4"/>
  </sheetPr>
  <dimension ref="A1:AQ58"/>
  <sheetViews>
    <sheetView showGridLines="0" zoomScale="90" workbookViewId="0">
      <pane xSplit="28" ySplit="40" topLeftCell="AC41" activePane="bottomRight" state="frozen"/>
      <selection pane="bottomLeft" activeCell="A41" sqref="A41"/>
      <selection pane="topRight" activeCell="AC1" sqref="AC1"/>
      <selection pane="bottomRight" activeCell="A1" sqref="A1"/>
    </sheetView>
  </sheetViews>
  <sheetFormatPr defaultColWidth="10.57421875" customHeight="1" defaultRowHeight="14.25"/>
  <cols>
    <col min="1" max="1" style="1367" width="10.57421875" hidden="1"/>
    <col min="2" max="2" style="1367" width="11.00390625" hidden="1" customWidth="1"/>
    <col min="3" max="3" style="1367" width="10.57421875" hidden="1"/>
    <col min="4" max="4" style="1367" width="11.8515625" hidden="1" customWidth="1"/>
    <col min="5" max="5" style="1367" width="10.00390625" hidden="1" customWidth="1"/>
    <col min="6" max="6" style="1367" width="8.7109375" hidden="1" customWidth="1"/>
    <col min="7" max="7" style="1367" width="7.57421875" hidden="1" customWidth="1"/>
    <col min="8" max="8" style="1367" width="11.421875" hidden="1" customWidth="1"/>
    <col min="9" max="9" style="1367" width="14.140625" hidden="1" customWidth="1"/>
    <col min="10" max="10" style="1367" width="9.8515625" hidden="1" customWidth="1"/>
    <col min="11" max="11" style="1367" width="14.7109375" hidden="1" customWidth="1"/>
    <col min="12" max="12" style="2608" width="19.140625" hidden="1" customWidth="1"/>
    <col min="13" max="14" style="1777" width="12.28125" hidden="1" customWidth="1"/>
    <col min="15" max="15" style="1777" width="23.421875" hidden="1" customWidth="1"/>
    <col min="16" max="16" style="2398" width="3.00390625" customWidth="1"/>
    <col min="17" max="18" style="345" width="3.00390625" customWidth="1"/>
    <col min="19" max="19" style="2408" width="12.00390625" customWidth="1"/>
    <col min="20" max="20" style="1636" width="35.00390625" customWidth="1"/>
    <col min="21" max="21" style="1636" width="0.140625" customWidth="1"/>
    <col min="22" max="24" style="1636" width="24.7109375" hidden="1" customWidth="1"/>
    <col min="25" max="25" style="1636" width="11.7109375" hidden="1" customWidth="1"/>
    <col min="26" max="26" style="1636" width="3.7109375" hidden="1" customWidth="1"/>
    <col min="27" max="27" style="1636" width="11.7109375" hidden="1" customWidth="1"/>
    <col min="28" max="28" style="1636" width="8.57421875" hidden="1" customWidth="1"/>
    <col min="29" max="29" style="1636" width="24.7109375" customWidth="1"/>
    <col min="30" max="31" style="1636" width="24.00390625" customWidth="1"/>
    <col min="32" max="32" style="1636" width="11.00390625" customWidth="1"/>
    <col min="33" max="33" style="1636" width="3.7109375" customWidth="1"/>
    <col min="34" max="34" style="1636" width="11.00390625" customWidth="1"/>
    <col min="35" max="35" style="1636" width="8.57421875" hidden="1" customWidth="1"/>
    <col min="36" max="36" style="1636" width="4.00390625" customWidth="1"/>
    <col min="37" max="37" style="1636" width="115.00390625" customWidth="1"/>
    <col min="38" max="42" style="1643" width="10.00390625" customWidth="1"/>
    <col min="43" max="43" style="1636" width="10.57421875" hidden="1"/>
  </cols>
  <sheetData>
    <row customHeight="1" ht="22.5" hidden="1">
      <c r="X1" s="328"/>
      <c r="Y1" s="328"/>
      <c r="AE1" s="328"/>
      <c r="AF1" s="328"/>
      <c r="AQ1" s="1156" t="s">
        <v>14</v>
      </c>
    </row>
    <row customHeight="1" ht="23.25" hidden="1">
      <c r="A2" s="1364"/>
      <c r="B2" s="1364"/>
      <c r="C2" s="1364"/>
      <c r="D2" s="1364"/>
      <c r="E2" s="2259">
        <v>1</v>
      </c>
      <c r="F2" s="1364"/>
      <c r="G2" s="1364"/>
      <c r="H2" s="1364"/>
      <c r="I2" s="1364"/>
      <c r="J2" s="1364"/>
      <c r="K2" s="1364"/>
      <c r="L2" s="1365"/>
      <c r="M2" s="1366"/>
      <c r="N2" s="1366"/>
      <c r="O2" s="1366"/>
      <c r="P2" s="362"/>
      <c r="Q2" s="361"/>
      <c r="R2" s="356"/>
      <c r="S2" s="1426">
        <f>INDEX(PT_DIFFERENTIATION_NUM_NTAR,MATCH(A2,PT_DIFFERENTIATION_NTAR_ID,0))</f>
      </c>
      <c r="T2" s="299" t="s">
        <v>131</v>
      </c>
      <c r="U2" s="301"/>
      <c r="V2" s="2243"/>
      <c r="W2" s="2244"/>
      <c r="X2" s="2244"/>
      <c r="Y2" s="2244"/>
      <c r="Z2" s="2244"/>
      <c r="AA2" s="2244"/>
      <c r="AB2" s="2245"/>
      <c r="AC2" s="2243">
        <f>INDEX(PT_DIFFERENTIATION_NTAR,MATCH(A2,PT_DIFFERENTIATION_NTAR_ID,0))</f>
      </c>
      <c r="AD2" s="2244"/>
      <c r="AE2" s="2244"/>
      <c r="AF2" s="2244"/>
      <c r="AG2" s="2244"/>
      <c r="AH2" s="2244"/>
      <c r="AI2" s="2244"/>
      <c r="AJ2" s="2245"/>
      <c r="AK2" s="1259"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M2" s="501"/>
      <c r="AN2" s="501" t="str">
        <f>IF(T2="","",T2)</f>
        <v>Наименование тарифа</v>
      </c>
      <c r="AO2" s="501"/>
      <c r="AP2" s="501"/>
      <c r="AQ2" s="1156">
        <v>0</v>
      </c>
    </row>
    <row customHeight="1" ht="23.25" hidden="1">
      <c r="A3" s="1364"/>
      <c r="B3" s="1364"/>
      <c r="C3" s="1364"/>
      <c r="D3" s="1364"/>
      <c r="E3" s="2260"/>
      <c r="F3" s="2259">
        <v>1</v>
      </c>
      <c r="G3" s="1364"/>
      <c r="H3" s="1364"/>
      <c r="I3" s="1364"/>
      <c r="J3" s="1364"/>
      <c r="K3" s="1364"/>
      <c r="L3" s="1365"/>
      <c r="M3" s="1366"/>
      <c r="N3" s="1366"/>
      <c r="O3" s="1366"/>
      <c r="P3" s="1424"/>
      <c r="Q3" s="353"/>
      <c r="R3" s="354"/>
      <c r="S3" s="1426">
        <f>INDEX(PT_DIFFERENTIATION_NUM_TER,MATCH(B3,PT_DIFFERENTIATION_TER_ID,0))</f>
      </c>
      <c r="T3" s="309" t="s">
        <v>414</v>
      </c>
      <c r="U3" s="301"/>
      <c r="V3" s="2243"/>
      <c r="W3" s="2244"/>
      <c r="X3" s="2244"/>
      <c r="Y3" s="2244"/>
      <c r="Z3" s="2244"/>
      <c r="AA3" s="2244"/>
      <c r="AB3" s="2245"/>
      <c r="AC3" s="2243">
        <f>INDEX(PT_DIFFERENTIATION_TER,MATCH(B3,PT_DIFFERENTIATION_TER_ID,0))</f>
      </c>
      <c r="AD3" s="2244"/>
      <c r="AE3" s="2244"/>
      <c r="AF3" s="2244"/>
      <c r="AG3" s="2244"/>
      <c r="AH3" s="2244"/>
      <c r="AI3" s="2244"/>
      <c r="AJ3" s="2245"/>
      <c r="AK3" s="1259" t="s">
        <v>415</v>
      </c>
      <c r="AM3" s="501"/>
      <c r="AN3" s="501" t="str">
        <f>IF(T3="","",T3)</f>
        <v>Территория действия тарифа</v>
      </c>
      <c r="AO3" s="501"/>
      <c r="AP3" s="501"/>
      <c r="AQ3" s="1156">
        <v>0</v>
      </c>
    </row>
    <row customHeight="1" ht="23.25" hidden="1">
      <c r="A4" s="1364"/>
      <c r="B4" s="1364"/>
      <c r="C4" s="1364"/>
      <c r="D4" s="1364"/>
      <c r="E4" s="2260"/>
      <c r="F4" s="2260"/>
      <c r="G4" s="2259">
        <v>1</v>
      </c>
      <c r="H4" s="1364"/>
      <c r="I4" s="1364"/>
      <c r="J4" s="1364"/>
      <c r="K4" s="1364"/>
      <c r="L4" s="1365"/>
      <c r="M4" s="1366"/>
      <c r="N4" s="1366"/>
      <c r="O4" s="1366"/>
      <c r="P4" s="355"/>
      <c r="Q4" s="353"/>
      <c r="R4" s="354"/>
      <c r="S4" s="1426">
        <f>INDEX(PT_DIFFERENTIATION_NUM_CS,MATCH(C4,PT_DIFFERENTIATION_CS_ID,0))</f>
      </c>
      <c r="T4" s="310" t="s">
        <v>500</v>
      </c>
      <c r="U4" s="301"/>
      <c r="V4" s="2243"/>
      <c r="W4" s="2244"/>
      <c r="X4" s="2244"/>
      <c r="Y4" s="2244"/>
      <c r="Z4" s="2244"/>
      <c r="AA4" s="2244"/>
      <c r="AB4" s="2245"/>
      <c r="AC4" s="2243">
        <f>INDEX(PT_DIFFERENTIATION_CS,MATCH(C4,PT_DIFFERENTIATION_CS_ID,0))</f>
      </c>
      <c r="AD4" s="2244"/>
      <c r="AE4" s="2244"/>
      <c r="AF4" s="2244"/>
      <c r="AG4" s="2244"/>
      <c r="AH4" s="2244"/>
      <c r="AI4" s="2244"/>
      <c r="AJ4" s="2245"/>
      <c r="AK4" s="1259" t="s">
        <v>501</v>
      </c>
      <c r="AM4" s="501"/>
      <c r="AN4" s="501" t="str">
        <f>IF(T4="","",T4)</f>
        <v>Наименование централизованной системы холодного водоснабжения</v>
      </c>
      <c r="AO4" s="501"/>
      <c r="AP4" s="501"/>
      <c r="AQ4" s="1156">
        <v>0</v>
      </c>
    </row>
    <row customHeight="1" ht="23.25" hidden="1">
      <c r="A5" s="1364"/>
      <c r="B5" s="1364"/>
      <c r="C5" s="1364"/>
      <c r="D5" s="1364"/>
      <c r="E5" s="2260"/>
      <c r="F5" s="2260"/>
      <c r="G5" s="2260"/>
      <c r="H5" s="2260"/>
      <c r="I5" s="2257">
        <f>S4&amp;".1"</f>
      </c>
      <c r="J5" s="1364"/>
      <c r="K5" s="1364"/>
      <c r="L5" s="1365"/>
      <c r="P5" s="2258">
        <v>1</v>
      </c>
      <c r="Q5" s="1423"/>
      <c r="R5" s="357"/>
      <c r="S5" s="1426">
        <f>$I5</f>
      </c>
      <c r="T5" s="286" t="s">
        <v>502</v>
      </c>
      <c r="U5" s="301"/>
      <c r="V5" s="2351"/>
      <c r="W5" s="2352"/>
      <c r="X5" s="2352"/>
      <c r="Y5" s="2352"/>
      <c r="Z5" s="2352"/>
      <c r="AA5" s="2352"/>
      <c r="AB5" s="2353"/>
      <c r="AC5" s="2354"/>
      <c r="AD5" s="2355"/>
      <c r="AE5" s="2355"/>
      <c r="AF5" s="2355"/>
      <c r="AG5" s="2355"/>
      <c r="AH5" s="2355"/>
      <c r="AI5" s="2355"/>
      <c r="AJ5" s="2356"/>
      <c r="AK5" s="1259" t="s">
        <v>503</v>
      </c>
      <c r="AM5" s="501"/>
      <c r="AN5" s="501" t="str">
        <f>IF(T5="","",T5)</f>
        <v>Наименование признака дифференциации</v>
      </c>
      <c r="AO5" s="501"/>
      <c r="AP5" s="501"/>
      <c r="AQ5" s="1156">
        <v>0</v>
      </c>
    </row>
    <row customHeight="1" ht="23.25" hidden="1">
      <c r="A6" s="1364"/>
      <c r="B6" s="1364"/>
      <c r="C6" s="1364"/>
      <c r="D6" s="1364"/>
      <c r="E6" s="2260"/>
      <c r="F6" s="2260"/>
      <c r="G6" s="2260"/>
      <c r="H6" s="2260"/>
      <c r="I6" s="2287"/>
      <c r="J6" s="2257">
        <f>I5&amp;".1"</f>
      </c>
      <c r="K6" s="1364"/>
      <c r="L6" s="1365" t="s">
        <v>423</v>
      </c>
      <c r="P6" s="2258"/>
      <c r="Q6" s="2258">
        <v>1</v>
      </c>
      <c r="R6" s="358"/>
      <c r="S6" s="1426">
        <f>$J6</f>
      </c>
      <c r="T6" s="287" t="s">
        <v>424</v>
      </c>
      <c r="U6" s="301"/>
      <c r="V6" s="2246"/>
      <c r="W6" s="2247"/>
      <c r="X6" s="2247"/>
      <c r="Y6" s="2247"/>
      <c r="Z6" s="2247"/>
      <c r="AA6" s="2247"/>
      <c r="AB6" s="2248"/>
      <c r="AC6" s="2246"/>
      <c r="AD6" s="2247"/>
      <c r="AE6" s="2247"/>
      <c r="AF6" s="2247"/>
      <c r="AG6" s="2247"/>
      <c r="AH6" s="2247"/>
      <c r="AI6" s="2247"/>
      <c r="AJ6" s="2248"/>
      <c r="AK6" s="1308" t="s">
        <v>504</v>
      </c>
      <c r="AM6" s="501"/>
      <c r="AN6" s="501" t="str">
        <f>IF(T6="","",T6)</f>
        <v>Группа потребителей</v>
      </c>
      <c r="AO6" s="501"/>
      <c r="AP6" s="501"/>
      <c r="AQ6" s="1156">
        <v>0</v>
      </c>
    </row>
    <row customHeight="1" ht="23.25" hidden="1">
      <c r="A7" s="1364"/>
      <c r="B7" s="1364"/>
      <c r="C7" s="1364"/>
      <c r="D7" s="1364"/>
      <c r="E7" s="2260"/>
      <c r="F7" s="2260"/>
      <c r="G7" s="2260"/>
      <c r="H7" s="2260"/>
      <c r="I7" s="2287"/>
      <c r="J7" s="2287"/>
      <c r="K7" s="2257">
        <f>J6&amp;".1"</f>
      </c>
      <c r="L7" s="1365"/>
      <c r="P7" s="2258"/>
      <c r="Q7" s="2258"/>
      <c r="R7" s="358">
        <v>1</v>
      </c>
      <c r="S7" s="1426">
        <f>$K7</f>
      </c>
      <c r="T7" s="1438"/>
      <c r="U7" s="301"/>
      <c r="V7" s="752"/>
      <c r="W7" s="752"/>
      <c r="X7" s="1258"/>
      <c r="Y7" s="2266"/>
      <c r="Z7" s="2108" t="s">
        <v>61</v>
      </c>
      <c r="AA7" s="2266"/>
      <c r="AB7" s="2108" t="s">
        <v>61</v>
      </c>
      <c r="AC7" s="752"/>
      <c r="AD7" s="752"/>
      <c r="AE7" s="1258"/>
      <c r="AF7" s="2266"/>
      <c r="AG7" s="2108" t="s">
        <v>61</v>
      </c>
      <c r="AH7" s="2288"/>
      <c r="AI7" s="2108" t="s">
        <v>61</v>
      </c>
      <c r="AJ7" s="1439"/>
      <c r="AK7" s="2350"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7" s="512">
        <f>STRCHECKDATE(V8:AJ8)</f>
      </c>
      <c r="AM7" s="501"/>
      <c r="AN7" s="501" t="str">
        <f>IF(T7="","",T7)</f>
        <v/>
      </c>
      <c r="AO7" s="501"/>
      <c r="AP7" s="501"/>
      <c r="AQ7" s="1156">
        <v>0</v>
      </c>
    </row>
    <row customHeight="1" ht="14.25" hidden="1">
      <c r="A8" s="1364"/>
      <c r="B8" s="1364"/>
      <c r="C8" s="1364"/>
      <c r="D8" s="1364"/>
      <c r="E8" s="2260"/>
      <c r="F8" s="2260"/>
      <c r="G8" s="2260"/>
      <c r="H8" s="2260"/>
      <c r="I8" s="2287"/>
      <c r="J8" s="2287"/>
      <c r="K8" s="2257"/>
      <c r="L8" s="1365"/>
      <c r="P8" s="2258"/>
      <c r="Q8" s="2258"/>
      <c r="R8" s="358"/>
      <c r="S8" s="1425"/>
      <c r="T8" s="301"/>
      <c r="U8" s="301"/>
      <c r="V8" s="326"/>
      <c r="W8" s="326"/>
      <c r="X8" s="329" t="str">
        <f>Y7&amp;"-"&amp;AA7</f>
        <v>-</v>
      </c>
      <c r="Y8" s="2267"/>
      <c r="Z8" s="2108"/>
      <c r="AA8" s="2267"/>
      <c r="AB8" s="2108"/>
      <c r="AC8" s="326"/>
      <c r="AD8" s="326"/>
      <c r="AE8" s="329" t="str">
        <f>AF7&amp;"-"&amp;AH7</f>
        <v>-</v>
      </c>
      <c r="AF8" s="2267"/>
      <c r="AG8" s="2108"/>
      <c r="AH8" s="2289"/>
      <c r="AI8" s="2108"/>
      <c r="AJ8" s="1440"/>
      <c r="AK8" s="2350"/>
      <c r="AM8" s="501"/>
      <c r="AN8" s="501" t="str">
        <f>IF(T8="","",T8)</f>
        <v/>
      </c>
      <c r="AO8" s="501"/>
      <c r="AP8" s="501"/>
      <c r="AQ8" s="1156">
        <v>0</v>
      </c>
    </row>
    <row customHeight="1" ht="21" hidden="1">
      <c r="A9" s="1364"/>
      <c r="B9" s="1364"/>
      <c r="C9" s="1364"/>
      <c r="D9" s="1364"/>
      <c r="E9" s="2260"/>
      <c r="F9" s="2260"/>
      <c r="G9" s="2260"/>
      <c r="H9" s="2260"/>
      <c r="I9" s="2287"/>
      <c r="J9" s="2257"/>
      <c r="K9" s="1364"/>
      <c r="L9" s="1365"/>
      <c r="P9" s="2258"/>
      <c r="Q9" s="2258"/>
      <c r="R9" s="357"/>
      <c r="S9" s="1279"/>
      <c r="T9" s="288" t="s">
        <v>505</v>
      </c>
      <c r="U9" s="368"/>
      <c r="V9" s="368"/>
      <c r="W9" s="368"/>
      <c r="X9" s="368"/>
      <c r="Y9" s="368"/>
      <c r="Z9" s="368"/>
      <c r="AA9" s="368"/>
      <c r="AB9" s="368"/>
      <c r="AC9" s="368"/>
      <c r="AD9" s="368"/>
      <c r="AE9" s="368"/>
      <c r="AF9" s="368"/>
      <c r="AG9" s="368"/>
      <c r="AH9" s="368"/>
      <c r="AI9" s="368"/>
      <c r="AJ9" s="368"/>
      <c r="AK9" s="1259" t="s">
        <v>506</v>
      </c>
      <c r="AM9" s="501"/>
      <c r="AN9" s="501" t="str">
        <f>IF(T9="","",T9)</f>
        <v>Добавить значение признака дифференциации</v>
      </c>
      <c r="AO9" s="501"/>
      <c r="AP9" s="501"/>
      <c r="AQ9" s="1156">
        <v>0</v>
      </c>
    </row>
    <row customHeight="1" ht="21" hidden="1">
      <c r="A10" s="1364"/>
      <c r="B10" s="1364"/>
      <c r="C10" s="1364"/>
      <c r="D10" s="1364"/>
      <c r="E10" s="2260"/>
      <c r="F10" s="2260"/>
      <c r="G10" s="2260"/>
      <c r="H10" s="2260"/>
      <c r="I10" s="2257"/>
      <c r="J10" s="1364"/>
      <c r="K10" s="1364"/>
      <c r="L10" s="1365"/>
      <c r="P10" s="2258"/>
      <c r="Q10" s="1423"/>
      <c r="R10" s="357"/>
      <c r="S10" s="1279"/>
      <c r="T10" s="366" t="s">
        <v>429</v>
      </c>
      <c r="U10" s="368"/>
      <c r="V10" s="368"/>
      <c r="W10" s="368"/>
      <c r="X10" s="368"/>
      <c r="Y10" s="368"/>
      <c r="Z10" s="368"/>
      <c r="AA10" s="368"/>
      <c r="AB10" s="367"/>
      <c r="AC10" s="368"/>
      <c r="AD10" s="368"/>
      <c r="AE10" s="368"/>
      <c r="AF10" s="368"/>
      <c r="AG10" s="368"/>
      <c r="AH10" s="368"/>
      <c r="AI10" s="367"/>
      <c r="AJ10" s="368"/>
      <c r="AK10" s="1441"/>
      <c r="AM10" s="501"/>
      <c r="AN10" s="501" t="str">
        <f>IF(T10="","",T10)</f>
        <v>Добавить группу потребителей</v>
      </c>
      <c r="AO10" s="501"/>
      <c r="AP10" s="501"/>
      <c r="AQ10" s="1156">
        <v>0</v>
      </c>
    </row>
    <row customHeight="1" ht="14.25" hidden="1">
      <c r="A11" s="1364"/>
      <c r="B11" s="1364"/>
      <c r="C11" s="1364"/>
      <c r="D11" s="1364"/>
      <c r="E11" s="2260"/>
      <c r="F11" s="2260"/>
      <c r="G11" s="2260"/>
      <c r="H11" s="2259"/>
      <c r="I11" s="1364"/>
      <c r="J11" s="1364"/>
      <c r="K11" s="1364"/>
      <c r="L11" s="1365"/>
      <c r="M11" s="1366"/>
      <c r="N11" s="1366"/>
      <c r="O11" s="538"/>
      <c r="P11" s="361"/>
      <c r="Q11" s="376"/>
      <c r="R11" s="356"/>
      <c r="S11" s="1279"/>
      <c r="T11" s="373" t="s">
        <v>507</v>
      </c>
      <c r="U11" s="368"/>
      <c r="V11" s="368"/>
      <c r="W11" s="368"/>
      <c r="X11" s="368"/>
      <c r="Y11" s="368"/>
      <c r="Z11" s="368"/>
      <c r="AA11" s="368"/>
      <c r="AB11" s="367"/>
      <c r="AC11" s="368"/>
      <c r="AD11" s="368"/>
      <c r="AE11" s="368"/>
      <c r="AF11" s="368"/>
      <c r="AG11" s="368"/>
      <c r="AH11" s="368"/>
      <c r="AI11" s="367"/>
      <c r="AJ11" s="368"/>
      <c r="AK11" s="304"/>
      <c r="AM11" s="501"/>
      <c r="AN11" s="501" t="str">
        <f>IF(T11="","",T11)</f>
        <v>Добавить наименование признака дифференциации</v>
      </c>
      <c r="AO11" s="501"/>
      <c r="AP11" s="501"/>
      <c r="AQ11" s="1156">
        <v>0</v>
      </c>
    </row>
    <row s="1643" customFormat="1" customHeight="1" ht="14.25" hidden="1">
      <c r="A12" s="1344"/>
      <c r="B12" s="1344"/>
      <c r="C12" s="1315"/>
      <c r="D12" s="1315"/>
      <c r="E12" s="2260"/>
      <c r="F12" s="2259"/>
      <c r="G12" s="1315"/>
      <c r="H12" s="1315"/>
      <c r="I12" s="1315"/>
      <c r="J12" s="1315"/>
      <c r="K12" s="1315"/>
      <c r="L12" s="1427"/>
      <c r="M12" s="1322"/>
      <c r="N12" s="1322"/>
      <c r="P12" s="1317"/>
      <c r="Q12" s="1318"/>
      <c r="R12" s="1317"/>
      <c r="S12" s="1323"/>
      <c r="T12" s="1326" t="s">
        <v>177</v>
      </c>
      <c r="U12" s="1325"/>
      <c r="V12" s="1325"/>
      <c r="W12" s="1325"/>
      <c r="X12" s="1325"/>
      <c r="Y12" s="1325"/>
      <c r="Z12" s="1325"/>
      <c r="AA12" s="1325"/>
      <c r="AB12" s="1325"/>
      <c r="AC12" s="1325"/>
      <c r="AD12" s="1325"/>
      <c r="AE12" s="1325"/>
      <c r="AF12" s="1325"/>
      <c r="AG12" s="1325"/>
      <c r="AH12" s="1325"/>
      <c r="AI12" s="1325"/>
      <c r="AJ12" s="1325"/>
      <c r="AK12" s="1325"/>
      <c r="AM12" s="790"/>
      <c r="AN12" s="790" t="str">
        <f>IF(T12="","",T12)</f>
        <v>Добавить централизованную систему для дифференциации</v>
      </c>
      <c r="AO12" s="790"/>
      <c r="AP12" s="790"/>
      <c r="AQ12" s="519">
        <v>0</v>
      </c>
    </row>
    <row s="1643" customFormat="1" customHeight="1" ht="14.25" hidden="1">
      <c r="A13" s="1344"/>
      <c r="B13" s="1344"/>
      <c r="C13" s="1344"/>
      <c r="D13" s="1344"/>
      <c r="E13" s="2259"/>
      <c r="F13" s="1344"/>
      <c r="G13" s="1344"/>
      <c r="H13" s="1344"/>
      <c r="I13" s="1344"/>
      <c r="J13" s="1344"/>
      <c r="K13" s="1344"/>
      <c r="L13" s="1347"/>
      <c r="M13" s="1322"/>
      <c r="N13" s="1322"/>
      <c r="O13" s="519"/>
      <c r="P13" s="381"/>
      <c r="Q13" s="1345"/>
      <c r="R13" s="381"/>
      <c r="S13" s="1323"/>
      <c r="T13" s="1326" t="s">
        <v>178</v>
      </c>
      <c r="U13" s="1325"/>
      <c r="V13" s="1325"/>
      <c r="W13" s="1325"/>
      <c r="X13" s="1325"/>
      <c r="Y13" s="1325"/>
      <c r="Z13" s="1325"/>
      <c r="AA13" s="1325"/>
      <c r="AB13" s="1325"/>
      <c r="AC13" s="1325"/>
      <c r="AD13" s="1325"/>
      <c r="AE13" s="1325"/>
      <c r="AF13" s="1325"/>
      <c r="AG13" s="1325"/>
      <c r="AH13" s="1325"/>
      <c r="AI13" s="1325"/>
      <c r="AJ13" s="1325"/>
      <c r="AK13" s="1325"/>
      <c r="AM13" s="501"/>
      <c r="AN13" s="501" t="str">
        <f>IF(T13="","",T13)</f>
        <v>Добавить территорию для дифференциации</v>
      </c>
      <c r="AO13" s="501"/>
      <c r="AP13" s="501"/>
      <c r="AQ13" s="512">
        <v>0</v>
      </c>
    </row>
    <row customHeight="1" ht="14.25" hidden="1">
      <c r="AB14" s="328"/>
      <c r="AI14" s="328"/>
      <c r="AQ14" s="1156">
        <v>0</v>
      </c>
    </row>
    <row customHeight="1" ht="14.25" hidden="1">
      <c r="AC15" s="1361"/>
      <c r="AD15" s="1361"/>
      <c r="AE15" s="1362"/>
      <c r="AF15" s="2268"/>
      <c r="AG15" s="2269" t="s">
        <v>61</v>
      </c>
      <c r="AH15" s="2268"/>
      <c r="AI15" s="2269" t="s">
        <v>61</v>
      </c>
      <c r="AQ15" s="1156">
        <v>0</v>
      </c>
    </row>
    <row customHeight="1" ht="14.25" hidden="1">
      <c r="AC16" s="1361"/>
      <c r="AD16" s="1361"/>
      <c r="AE16" s="329" t="str">
        <f>AF15&amp;"-"&amp;AH15</f>
        <v>-</v>
      </c>
      <c r="AF16" s="2269"/>
      <c r="AG16" s="2269"/>
      <c r="AH16" s="2269"/>
      <c r="AI16" s="2269"/>
      <c r="AQ16" s="1156">
        <v>0</v>
      </c>
    </row>
    <row customHeight="1" ht="14.25" hidden="1">
      <c r="AI17" s="328"/>
      <c r="AQ17" s="1156">
        <v>0</v>
      </c>
    </row>
    <row s="1367" customFormat="1" customHeight="1" ht="22.5" hidden="1">
      <c r="L18" s="1422"/>
      <c r="M18" s="1363"/>
      <c r="N18" s="1363"/>
      <c r="O18" s="1368" t="s">
        <v>431</v>
      </c>
      <c r="P18" s="1363"/>
      <c r="Q18" s="1372"/>
      <c r="R18" s="1372"/>
      <c r="S18" s="730"/>
      <c r="Y18" s="1368"/>
      <c r="AA18" s="1368"/>
      <c r="AB18" s="1367"/>
      <c r="AF18" s="1368"/>
      <c r="AH18" s="1368"/>
      <c r="AI18" s="1367"/>
      <c r="AL18" s="512"/>
      <c r="AM18" s="512"/>
      <c r="AN18" s="512"/>
      <c r="AO18" s="512"/>
      <c r="AP18" s="512"/>
      <c r="AQ18" s="1161">
        <v>0</v>
      </c>
    </row>
    <row s="1367" customFormat="1" customHeight="1" ht="14.25" hidden="1">
      <c r="L19" s="1422"/>
      <c r="M19" s="1363"/>
      <c r="N19" s="1363"/>
      <c r="O19" s="1363"/>
      <c r="P19" s="1363"/>
      <c r="Q19" s="1372"/>
      <c r="R19" s="1372"/>
      <c r="S19" s="730"/>
      <c r="AB19" s="1367"/>
      <c r="AI19" s="1367"/>
      <c r="AL19" s="512"/>
      <c r="AM19" s="512"/>
      <c r="AN19" s="512"/>
      <c r="AO19" s="512"/>
      <c r="AP19" s="512"/>
      <c r="AQ19" s="1161">
        <v>0</v>
      </c>
    </row>
    <row s="1367" customFormat="1" customHeight="1" ht="12" hidden="1">
      <c r="L20" s="1422"/>
      <c r="M20" s="1363"/>
      <c r="N20" s="1363"/>
      <c r="O20" s="1365" t="s">
        <v>432</v>
      </c>
      <c r="P20" s="1363"/>
      <c r="Q20" s="1443"/>
      <c r="R20" s="1443"/>
      <c r="S20" s="730"/>
      <c r="T20" s="1161" t="s">
        <v>433</v>
      </c>
      <c r="Z20" s="187" t="s">
        <v>434</v>
      </c>
      <c r="AB20" s="187" t="s">
        <v>435</v>
      </c>
      <c r="AC20" s="1161" t="s">
        <v>433</v>
      </c>
      <c r="AG20" s="187" t="s">
        <v>436</v>
      </c>
      <c r="AI20" s="187" t="s">
        <v>435</v>
      </c>
      <c r="AQ20" s="1161">
        <v>0</v>
      </c>
    </row>
    <row customHeight="1" ht="14.25" hidden="1">
      <c r="O21" s="1365"/>
      <c r="AQ21" s="1156">
        <v>0</v>
      </c>
    </row>
    <row customHeight="1" ht="14.25" hidden="1">
      <c r="O22" s="1365"/>
      <c r="AQ22" s="1156">
        <v>0</v>
      </c>
    </row>
    <row customHeight="1" ht="14.699999999999998">
      <c r="Q23" s="377"/>
      <c r="R23" s="377"/>
      <c r="S23" s="1276"/>
      <c r="T23" s="364"/>
      <c r="U23" s="364"/>
      <c r="V23" s="510"/>
      <c r="W23" s="510"/>
      <c r="X23" s="510"/>
      <c r="Y23" s="510"/>
      <c r="Z23" s="510"/>
      <c r="AA23" s="510"/>
      <c r="AB23" s="510"/>
      <c r="AC23" s="510"/>
      <c r="AD23" s="510"/>
      <c r="AE23" s="510"/>
      <c r="AF23" s="510"/>
      <c r="AG23" s="510"/>
      <c r="AH23" s="510"/>
      <c r="AI23" s="510"/>
      <c r="AQ23" s="1156">
        <v>14</v>
      </c>
    </row>
    <row customHeight="1" ht="14.699999999999998">
      <c r="Q24" s="377"/>
      <c r="R24" s="377"/>
      <c r="S24" s="2249" t="str">
        <f>IF(TEMPLATE_GROUP="P",PT_P_FORM_COLDVSNA_4_NAME_FORM,PT_R_FORM_COLDVSNA_16_NAME_FORM)</f>
        <v>Форма 13. Информация о предложении организации холодного водоснабжения об установлении расчетной величины тарифов в сфере холодного водоснабжения</v>
      </c>
      <c r="T24" s="2249"/>
      <c r="U24" s="2249"/>
      <c r="V24" s="2249"/>
      <c r="W24" s="2249"/>
      <c r="X24" s="2249"/>
      <c r="Y24" s="2249"/>
      <c r="Z24" s="2249"/>
      <c r="AA24" s="2249"/>
      <c r="AB24" s="2249"/>
      <c r="AC24" s="2249"/>
      <c r="AD24" s="2249"/>
      <c r="AE24" s="2249"/>
      <c r="AF24" s="2249"/>
      <c r="AG24" s="2249"/>
      <c r="AH24" s="2249"/>
      <c r="AI24" s="1244"/>
      <c r="AQ24" s="1156">
        <v>14</v>
      </c>
    </row>
    <row customHeight="1" ht="14.699999999999998">
      <c r="Q25" s="377"/>
      <c r="R25" s="377"/>
      <c r="S25" s="2250" t="str">
        <f>IF(org=0,"Не определено",org)</f>
        <v>ПАО "КГК"</v>
      </c>
      <c r="T25" s="2250"/>
      <c r="U25" s="2250"/>
      <c r="V25" s="2250"/>
      <c r="W25" s="2250"/>
      <c r="X25" s="2250"/>
      <c r="Y25" s="2250"/>
      <c r="Z25" s="2250"/>
      <c r="AA25" s="2250"/>
      <c r="AB25" s="2250"/>
      <c r="AC25" s="2250"/>
      <c r="AD25" s="2250"/>
      <c r="AE25" s="2250"/>
      <c r="AF25" s="2250"/>
      <c r="AG25" s="2250"/>
      <c r="AH25" s="2250"/>
      <c r="AI25" s="1244"/>
      <c r="AQ25" s="1156">
        <v>14</v>
      </c>
    </row>
    <row customHeight="1" ht="14.25" hidden="1">
      <c r="Q26" s="377"/>
      <c r="R26" s="377"/>
      <c r="S26" s="1276"/>
      <c r="T26" s="364"/>
      <c r="U26" s="364"/>
      <c r="V26" s="323"/>
      <c r="W26" s="323"/>
      <c r="X26" s="323"/>
      <c r="Y26" s="323"/>
      <c r="Z26" s="323"/>
      <c r="AA26" s="323"/>
      <c r="AB26" s="323"/>
      <c r="AC26" s="323"/>
      <c r="AD26" s="323"/>
      <c r="AE26" s="323"/>
      <c r="AF26" s="323"/>
      <c r="AG26" s="323"/>
      <c r="AH26" s="323"/>
      <c r="AI26" s="323"/>
      <c r="AJ26" s="510"/>
      <c r="AQ26" s="1156">
        <v>0</v>
      </c>
    </row>
    <row s="1854" customFormat="1" customHeight="1" ht="25.5" hidden="1">
      <c r="A27" s="1369"/>
      <c r="B27" s="1369"/>
      <c r="C27" s="1369"/>
      <c r="D27" s="1369"/>
      <c r="E27" s="1369"/>
      <c r="F27" s="1369"/>
      <c r="G27" s="1369"/>
      <c r="H27" s="1369"/>
      <c r="I27" s="1369"/>
      <c r="J27" s="1369"/>
      <c r="K27" s="1369"/>
      <c r="L27" s="1370"/>
      <c r="M27" s="1369"/>
      <c r="N27" s="1369"/>
      <c r="O27" s="1369"/>
      <c r="S27" s="2251" t="s">
        <v>42</v>
      </c>
      <c r="T27" s="2251"/>
      <c r="U27" s="1373"/>
      <c r="V27" s="2252" t="str">
        <f>IF(TITLE_NAME_OR_PR_CHANGE="",IF(TITLE_NAME_OR_PR="","",TITLE_NAME_OR_PR),TITLE_NAME_OR_PR_CHANGE)</f>
        <v/>
      </c>
      <c r="W27" s="2252"/>
      <c r="X27" s="2252"/>
      <c r="Y27" s="2252"/>
      <c r="Z27" s="2252"/>
      <c r="AA27" s="2252"/>
      <c r="AB27" s="327"/>
      <c r="AC27" s="2252" t="str">
        <f>IF(TITLE_NAME_OR_PR_CHANGE="",IF(TITLE_NAME_OR_PR="","",TITLE_NAME_OR_PR),TITLE_NAME_OR_PR_CHANGE)</f>
        <v/>
      </c>
      <c r="AD27" s="2252"/>
      <c r="AE27" s="2252"/>
      <c r="AF27" s="2252"/>
      <c r="AG27" s="2252"/>
      <c r="AH27" s="2252"/>
      <c r="AI27" s="327"/>
      <c r="AJ27" s="327"/>
      <c r="AK27" s="281"/>
      <c r="AL27" s="369"/>
      <c r="AM27" s="369"/>
      <c r="AN27" s="369"/>
      <c r="AO27" s="369"/>
      <c r="AP27" s="369"/>
      <c r="AQ27" s="419">
        <v>0</v>
      </c>
    </row>
    <row s="1854" customFormat="1" customHeight="1" ht="18.75" hidden="1">
      <c r="A28" s="1369"/>
      <c r="B28" s="1369"/>
      <c r="C28" s="1369"/>
      <c r="D28" s="1369"/>
      <c r="E28" s="1369"/>
      <c r="F28" s="1369"/>
      <c r="G28" s="1369"/>
      <c r="H28" s="1369"/>
      <c r="I28" s="1369"/>
      <c r="J28" s="1369"/>
      <c r="K28" s="1369"/>
      <c r="L28" s="1370"/>
      <c r="M28" s="1369"/>
      <c r="N28" s="1369"/>
      <c r="O28" s="1369"/>
      <c r="S28" s="2251" t="s">
        <v>437</v>
      </c>
      <c r="T28" s="2251"/>
      <c r="U28" s="1373"/>
      <c r="V28" s="2265" t="str">
        <f>IF(TITLE_DATE_PR_CHANGE="",IF(TITLE_DATE_PR="","",TITLE_DATE_PR),TITLE_DATE_PR_CHANGE)</f>
        <v>46142</v>
      </c>
      <c r="W28" s="2265"/>
      <c r="X28" s="2265"/>
      <c r="Y28" s="2265"/>
      <c r="Z28" s="2265"/>
      <c r="AA28" s="2265"/>
      <c r="AB28" s="327"/>
      <c r="AC28" s="2265" t="str">
        <f>IF(TITLE_DATE_PR_CHANGE="",IF(TITLE_DATE_PR="","",TITLE_DATE_PR),TITLE_DATE_PR_CHANGE)</f>
        <v>46142</v>
      </c>
      <c r="AD28" s="2265"/>
      <c r="AE28" s="2265"/>
      <c r="AF28" s="2265"/>
      <c r="AG28" s="2265"/>
      <c r="AH28" s="2265"/>
      <c r="AI28" s="327"/>
      <c r="AJ28" s="327"/>
      <c r="AK28" s="281"/>
      <c r="AL28" s="369"/>
      <c r="AM28" s="369"/>
      <c r="AN28" s="369"/>
      <c r="AO28" s="369"/>
      <c r="AP28" s="369"/>
      <c r="AQ28" s="419">
        <v>0</v>
      </c>
    </row>
    <row s="1854" customFormat="1" customHeight="1" ht="18.75" hidden="1">
      <c r="A29" s="1369"/>
      <c r="B29" s="1369"/>
      <c r="C29" s="1369"/>
      <c r="D29" s="1369"/>
      <c r="E29" s="1369"/>
      <c r="F29" s="1369"/>
      <c r="G29" s="1369"/>
      <c r="H29" s="1369"/>
      <c r="I29" s="1369"/>
      <c r="J29" s="1369"/>
      <c r="K29" s="1369"/>
      <c r="L29" s="1370"/>
      <c r="M29" s="1369"/>
      <c r="N29" s="1369"/>
      <c r="O29" s="1369"/>
      <c r="S29" s="2251" t="s">
        <v>438</v>
      </c>
      <c r="T29" s="2251"/>
      <c r="U29" s="1373"/>
      <c r="V29" s="2252" t="str">
        <f>IF(TITLE_NUMBER_PR_CHANGE="",IF(TITLE_NUMBER_PR="","",TITLE_NUMBER_PR),TITLE_NUMBER_PR_CHANGE)</f>
        <v>206Т</v>
      </c>
      <c r="W29" s="2252"/>
      <c r="X29" s="2252"/>
      <c r="Y29" s="2252"/>
      <c r="Z29" s="2252"/>
      <c r="AA29" s="2252"/>
      <c r="AB29" s="327"/>
      <c r="AC29" s="2252" t="str">
        <f>IF(TITLE_NUMBER_PR_CHANGE="",IF(TITLE_NUMBER_PR="","",TITLE_NUMBER_PR),TITLE_NUMBER_PR_CHANGE)</f>
        <v>206Т</v>
      </c>
      <c r="AD29" s="2252"/>
      <c r="AE29" s="2252"/>
      <c r="AF29" s="2252"/>
      <c r="AG29" s="2252"/>
      <c r="AH29" s="2252"/>
      <c r="AI29" s="327"/>
      <c r="AJ29" s="327"/>
      <c r="AK29" s="281"/>
      <c r="AL29" s="369"/>
      <c r="AM29" s="369"/>
      <c r="AN29" s="369"/>
      <c r="AO29" s="369"/>
      <c r="AP29" s="369"/>
      <c r="AQ29" s="419">
        <v>0</v>
      </c>
    </row>
    <row s="1854" customFormat="1" customHeight="1" ht="18.75" hidden="1">
      <c r="A30" s="1369"/>
      <c r="B30" s="1369"/>
      <c r="C30" s="1369"/>
      <c r="D30" s="1369"/>
      <c r="E30" s="1369"/>
      <c r="F30" s="1369"/>
      <c r="G30" s="1369"/>
      <c r="H30" s="1369"/>
      <c r="I30" s="1369"/>
      <c r="J30" s="1369"/>
      <c r="K30" s="1369"/>
      <c r="L30" s="1370"/>
      <c r="M30" s="1369"/>
      <c r="N30" s="1369"/>
      <c r="O30" s="1369"/>
      <c r="S30" s="2251" t="s">
        <v>43</v>
      </c>
      <c r="T30" s="2251"/>
      <c r="U30" s="1373"/>
      <c r="V30" s="2252" t="str">
        <f>IF(TITLE_IST_PUB_CHANGE="",IF(TITLE_IST_PUB="","",TITLE_IST_PUB),TITLE_IST_PUB_CHANGE)</f>
        <v/>
      </c>
      <c r="W30" s="2252"/>
      <c r="X30" s="2252"/>
      <c r="Y30" s="2252"/>
      <c r="Z30" s="2252"/>
      <c r="AA30" s="2252"/>
      <c r="AB30" s="327"/>
      <c r="AC30" s="2252" t="str">
        <f>IF(TITLE_IST_PUB_CHANGE="",IF(TITLE_IST_PUB="","",TITLE_IST_PUB),TITLE_IST_PUB_CHANGE)</f>
        <v/>
      </c>
      <c r="AD30" s="2252"/>
      <c r="AE30" s="2252"/>
      <c r="AF30" s="2252"/>
      <c r="AG30" s="2252"/>
      <c r="AH30" s="2252"/>
      <c r="AI30" s="327"/>
      <c r="AJ30" s="327"/>
      <c r="AK30" s="281"/>
      <c r="AL30" s="369"/>
      <c r="AM30" s="369"/>
      <c r="AN30" s="369"/>
      <c r="AO30" s="369"/>
      <c r="AP30" s="369"/>
      <c r="AQ30" s="419">
        <v>0</v>
      </c>
    </row>
    <row customHeight="1" ht="14.25">
      <c r="Q31" s="377"/>
      <c r="R31" s="377"/>
      <c r="S31" s="1276"/>
      <c r="T31" s="364"/>
      <c r="U31" s="364"/>
      <c r="V31" s="323"/>
      <c r="W31" s="323"/>
      <c r="X31" s="323"/>
      <c r="Y31" s="323"/>
      <c r="Z31" s="323"/>
      <c r="AA31" s="323"/>
      <c r="AB31" s="323"/>
      <c r="AC31" s="323"/>
      <c r="AD31" s="323"/>
      <c r="AE31" s="323"/>
      <c r="AF31" s="323"/>
      <c r="AG31" s="323"/>
      <c r="AH31" s="323"/>
      <c r="AI31" s="323"/>
      <c r="AJ31" s="510"/>
      <c r="AQ31" s="1156">
        <v>0</v>
      </c>
    </row>
    <row s="1854" customFormat="1" customHeight="1" ht="18.75">
      <c r="A32" s="1369"/>
      <c r="B32" s="1369"/>
      <c r="C32" s="1369"/>
      <c r="D32" s="1369"/>
      <c r="E32" s="1369"/>
      <c r="F32" s="1369"/>
      <c r="G32" s="1369"/>
      <c r="H32" s="1369"/>
      <c r="I32" s="1369"/>
      <c r="J32" s="1369"/>
      <c r="K32" s="1369"/>
      <c r="L32" s="1370"/>
      <c r="M32" s="1369"/>
      <c r="N32" s="1369"/>
      <c r="O32" s="1369"/>
      <c r="S32" s="2251" t="s">
        <v>439</v>
      </c>
      <c r="T32" s="2251"/>
      <c r="U32" s="1373"/>
      <c r="V32" s="2265" t="str">
        <f>IF(TITLE_DATE_PR_CHANGE="",IF(TITLE_DATE_PR="","",TITLE_DATE_PR),TITLE_DATE_PR_CHANGE)</f>
        <v>46142</v>
      </c>
      <c r="W32" s="2265"/>
      <c r="X32" s="2265"/>
      <c r="Y32" s="2265"/>
      <c r="Z32" s="2265"/>
      <c r="AA32" s="2265"/>
      <c r="AB32" s="327"/>
      <c r="AC32" s="2265" t="str">
        <f>IF(TITLE_DATE_PR_CHANGE="",IF(TITLE_DATE_PR="","",TITLE_DATE_PR),TITLE_DATE_PR_CHANGE)</f>
        <v>46142</v>
      </c>
      <c r="AD32" s="2265"/>
      <c r="AE32" s="2265"/>
      <c r="AF32" s="2265"/>
      <c r="AG32" s="2265"/>
      <c r="AH32" s="2265"/>
      <c r="AI32" s="327"/>
      <c r="AJ32" s="327"/>
      <c r="AK32" s="281"/>
      <c r="AL32" s="369"/>
      <c r="AM32" s="369"/>
      <c r="AN32" s="369"/>
      <c r="AO32" s="369"/>
      <c r="AP32" s="369"/>
      <c r="AQ32" s="419">
        <v>0</v>
      </c>
    </row>
    <row s="1854" customFormat="1" customHeight="1" ht="18.75">
      <c r="A33" s="1369"/>
      <c r="B33" s="1369"/>
      <c r="C33" s="1369"/>
      <c r="D33" s="1369"/>
      <c r="E33" s="1369"/>
      <c r="F33" s="1369"/>
      <c r="G33" s="1369"/>
      <c r="H33" s="1369"/>
      <c r="I33" s="1369"/>
      <c r="J33" s="1369"/>
      <c r="K33" s="1369"/>
      <c r="L33" s="1370"/>
      <c r="M33" s="1369"/>
      <c r="N33" s="1369"/>
      <c r="O33" s="1369"/>
      <c r="S33" s="2251" t="s">
        <v>440</v>
      </c>
      <c r="T33" s="2251"/>
      <c r="U33" s="1373"/>
      <c r="V33" s="2252" t="str">
        <f>IF(TITLE_NUMBER_PR_CHANGE="",IF(TITLE_NUMBER_PR="","",TITLE_NUMBER_PR),TITLE_NUMBER_PR_CHANGE)</f>
        <v>206Т</v>
      </c>
      <c r="W33" s="2252"/>
      <c r="X33" s="2252"/>
      <c r="Y33" s="2252"/>
      <c r="Z33" s="2252"/>
      <c r="AA33" s="2252"/>
      <c r="AB33" s="327"/>
      <c r="AC33" s="2252" t="str">
        <f>IF(TITLE_NUMBER_PR_CHANGE="",IF(TITLE_NUMBER_PR="","",TITLE_NUMBER_PR),TITLE_NUMBER_PR_CHANGE)</f>
        <v>206Т</v>
      </c>
      <c r="AD33" s="2252"/>
      <c r="AE33" s="2252"/>
      <c r="AF33" s="2252"/>
      <c r="AG33" s="2252"/>
      <c r="AH33" s="2252"/>
      <c r="AI33" s="327"/>
      <c r="AJ33" s="327"/>
      <c r="AK33" s="281"/>
      <c r="AL33" s="369"/>
      <c r="AM33" s="369"/>
      <c r="AN33" s="369"/>
      <c r="AO33" s="369"/>
      <c r="AP33" s="369"/>
      <c r="AQ33" s="419">
        <v>0</v>
      </c>
    </row>
    <row s="1854" customFormat="1" customHeight="1" ht="1.05">
      <c r="A34" s="1369"/>
      <c r="B34" s="1369"/>
      <c r="C34" s="1369"/>
      <c r="D34" s="1369"/>
      <c r="E34" s="1369"/>
      <c r="F34" s="1369"/>
      <c r="G34" s="1369"/>
      <c r="H34" s="1369"/>
      <c r="I34" s="1369"/>
      <c r="J34" s="1369"/>
      <c r="K34" s="1369"/>
      <c r="L34" s="1370"/>
      <c r="M34" s="1369"/>
      <c r="N34" s="1369"/>
      <c r="O34" s="1369"/>
      <c r="S34" s="324"/>
      <c r="T34" s="324"/>
      <c r="U34" s="1356"/>
      <c r="V34" s="327"/>
      <c r="W34" s="327"/>
      <c r="X34" s="327"/>
      <c r="Y34" s="327"/>
      <c r="Z34" s="327"/>
      <c r="AA34" s="327"/>
      <c r="AB34" s="279" t="s">
        <v>441</v>
      </c>
      <c r="AC34" s="327"/>
      <c r="AD34" s="327"/>
      <c r="AE34" s="327"/>
      <c r="AF34" s="327"/>
      <c r="AG34" s="327"/>
      <c r="AH34" s="327"/>
      <c r="AI34" s="279" t="s">
        <v>441</v>
      </c>
      <c r="AL34" s="369"/>
      <c r="AM34" s="369"/>
      <c r="AN34" s="369"/>
      <c r="AO34" s="369"/>
      <c r="AP34" s="369"/>
      <c r="AQ34" s="419">
        <v>1</v>
      </c>
    </row>
    <row customHeight="1" ht="14.699999999999998">
      <c r="Q35" s="377"/>
      <c r="R35" s="377"/>
      <c r="S35" s="1276"/>
      <c r="T35" s="364"/>
      <c r="U35" s="1245"/>
      <c r="V35" s="2253"/>
      <c r="W35" s="2253"/>
      <c r="X35" s="2253"/>
      <c r="Y35" s="2253"/>
      <c r="Z35" s="2253"/>
      <c r="AA35" s="2253"/>
      <c r="AB35" s="2253"/>
      <c r="AC35" s="2253"/>
      <c r="AD35" s="2253"/>
      <c r="AE35" s="2253"/>
      <c r="AF35" s="2253"/>
      <c r="AG35" s="2253"/>
      <c r="AH35" s="2253"/>
      <c r="AI35" s="2253"/>
      <c r="AQ35" s="1156">
        <v>14</v>
      </c>
    </row>
    <row customHeight="1" ht="14.699999999999998">
      <c r="Q36" s="377"/>
      <c r="R36" s="377"/>
      <c r="S36" s="2128" t="s">
        <v>317</v>
      </c>
      <c r="T36" s="2128"/>
      <c r="U36" s="2128"/>
      <c r="V36" s="2128"/>
      <c r="W36" s="2128"/>
      <c r="X36" s="2128"/>
      <c r="Y36" s="2128"/>
      <c r="Z36" s="2128"/>
      <c r="AA36" s="2128"/>
      <c r="AB36" s="2128"/>
      <c r="AC36" s="2128"/>
      <c r="AD36" s="2128"/>
      <c r="AE36" s="2128"/>
      <c r="AF36" s="2128"/>
      <c r="AG36" s="2128"/>
      <c r="AH36" s="2128"/>
      <c r="AI36" s="2128"/>
      <c r="AJ36" s="2128"/>
      <c r="AK36" s="2128" t="s">
        <v>318</v>
      </c>
      <c r="AQ36" s="1156">
        <v>14</v>
      </c>
    </row>
    <row customHeight="1" ht="14.699999999999998">
      <c r="Q37" s="377"/>
      <c r="R37" s="377"/>
      <c r="S37" s="2274" t="s">
        <v>89</v>
      </c>
      <c r="T37" s="2210" t="s">
        <v>442</v>
      </c>
      <c r="U37" s="302"/>
      <c r="V37" s="2275" t="s">
        <v>443</v>
      </c>
      <c r="W37" s="2276"/>
      <c r="X37" s="2276"/>
      <c r="Y37" s="2276"/>
      <c r="Z37" s="2276"/>
      <c r="AA37" s="2277"/>
      <c r="AB37" s="2278" t="s">
        <v>444</v>
      </c>
      <c r="AC37" s="2275" t="s">
        <v>443</v>
      </c>
      <c r="AD37" s="2276"/>
      <c r="AE37" s="2276"/>
      <c r="AF37" s="2276"/>
      <c r="AG37" s="2276"/>
      <c r="AH37" s="2277"/>
      <c r="AI37" s="2278" t="s">
        <v>445</v>
      </c>
      <c r="AJ37" s="2281" t="s">
        <v>446</v>
      </c>
      <c r="AK37" s="2128"/>
      <c r="AQ37" s="1156">
        <v>14</v>
      </c>
    </row>
    <row customHeight="1" ht="35.699999999999996">
      <c r="Q38" s="377"/>
      <c r="R38" s="377"/>
      <c r="S38" s="2274"/>
      <c r="T38" s="2210"/>
      <c r="U38" s="1032"/>
      <c r="V38" s="1353" t="s">
        <v>508</v>
      </c>
      <c r="W38" s="2263" t="s">
        <v>449</v>
      </c>
      <c r="X38" s="2264"/>
      <c r="Y38" s="2263" t="s">
        <v>450</v>
      </c>
      <c r="Z38" s="2270"/>
      <c r="AA38" s="2264"/>
      <c r="AB38" s="2279"/>
      <c r="AC38" s="1353" t="s">
        <v>508</v>
      </c>
      <c r="AD38" s="2263" t="s">
        <v>449</v>
      </c>
      <c r="AE38" s="2264"/>
      <c r="AF38" s="2263" t="s">
        <v>450</v>
      </c>
      <c r="AG38" s="2270"/>
      <c r="AH38" s="2264"/>
      <c r="AI38" s="2279"/>
      <c r="AJ38" s="2282"/>
      <c r="AK38" s="2128"/>
      <c r="AQ38" s="1156">
        <v>34</v>
      </c>
    </row>
    <row customHeight="1" ht="35.699999999999996">
      <c r="A39" s="1371"/>
      <c r="B39" s="1371" t="s">
        <v>143</v>
      </c>
      <c r="C39" s="1371" t="s">
        <v>144</v>
      </c>
      <c r="D39" s="1371" t="s">
        <v>145</v>
      </c>
      <c r="E39" s="1365" t="s">
        <v>451</v>
      </c>
      <c r="F39" s="1365" t="s">
        <v>452</v>
      </c>
      <c r="G39" s="1365" t="s">
        <v>453</v>
      </c>
      <c r="H39" s="1365"/>
      <c r="I39" s="1365" t="s">
        <v>509</v>
      </c>
      <c r="J39" s="1365" t="s">
        <v>456</v>
      </c>
      <c r="K39" s="1365" t="s">
        <v>510</v>
      </c>
      <c r="L39" s="1365" t="s">
        <v>432</v>
      </c>
      <c r="Q39" s="377"/>
      <c r="R39" s="377"/>
      <c r="S39" s="2274"/>
      <c r="T39" s="2210"/>
      <c r="U39" s="303"/>
      <c r="V39" s="1353" t="s">
        <v>511</v>
      </c>
      <c r="W39" s="1223" t="s">
        <v>512</v>
      </c>
      <c r="X39" s="1223" t="s">
        <v>513</v>
      </c>
      <c r="Y39" s="1358" t="s">
        <v>460</v>
      </c>
      <c r="Z39" s="2271" t="s">
        <v>461</v>
      </c>
      <c r="AA39" s="2272"/>
      <c r="AB39" s="2280"/>
      <c r="AC39" s="1353" t="s">
        <v>511</v>
      </c>
      <c r="AD39" s="1223" t="s">
        <v>512</v>
      </c>
      <c r="AE39" s="1223" t="s">
        <v>513</v>
      </c>
      <c r="AF39" s="1358" t="s">
        <v>460</v>
      </c>
      <c r="AG39" s="2271" t="s">
        <v>461</v>
      </c>
      <c r="AH39" s="2272"/>
      <c r="AI39" s="2280"/>
      <c r="AJ39" s="2283"/>
      <c r="AK39" s="2128"/>
      <c r="AQ39" s="1156">
        <v>34</v>
      </c>
    </row>
    <row s="1642" customFormat="1" customHeight="1" ht="11.25" hidden="1">
      <c r="A40" s="1371"/>
      <c r="B40" s="1371"/>
      <c r="C40" s="1371"/>
      <c r="D40" s="1371"/>
      <c r="E40" s="1371"/>
      <c r="F40" s="1371"/>
      <c r="G40" s="1371"/>
      <c r="H40" s="1371"/>
      <c r="I40" s="1371"/>
      <c r="J40" s="1371"/>
      <c r="K40" s="1371"/>
      <c r="L40" s="1365"/>
      <c r="M40" s="1363"/>
      <c r="N40" s="1363"/>
      <c r="O40" s="1363"/>
      <c r="P40" s="1247"/>
      <c r="Q40" s="1248"/>
      <c r="R40" s="1255">
        <v>1</v>
      </c>
      <c r="S40" s="1278" t="s">
        <v>118</v>
      </c>
      <c r="T40" s="1256" t="s">
        <v>103</v>
      </c>
      <c r="U40" s="1246" t="str">
        <f>OFFSET(U40,0,-1)</f>
        <v>2</v>
      </c>
      <c r="V40" s="1354">
        <f>OFFSET(V40,0,-1)+1</f>
        <v>3</v>
      </c>
      <c r="W40" s="1354">
        <f>OFFSET(W40,0,-1)+1</f>
        <v>4</v>
      </c>
      <c r="X40" s="1354">
        <f>OFFSET(X40,0,-1)+1</f>
        <v>5</v>
      </c>
      <c r="Y40" s="1354">
        <f>OFFSET(Y40,0,-1)+1</f>
        <v>6</v>
      </c>
      <c r="Z40" s="2273">
        <f>OFFSET(Z40,0,-1)+1</f>
        <v>7</v>
      </c>
      <c r="AA40" s="2273"/>
      <c r="AB40" s="1354">
        <f>OFFSET(AB40,0,-2)+1</f>
        <v>8</v>
      </c>
      <c r="AC40" s="1354">
        <f>OFFSET(AC40,0,-1)+1</f>
        <v>9</v>
      </c>
      <c r="AD40" s="1354">
        <f>OFFSET(AD40,0,-1)+1</f>
        <v>10</v>
      </c>
      <c r="AE40" s="1354">
        <f>OFFSET(AE40,0,-1)+1</f>
        <v>11</v>
      </c>
      <c r="AF40" s="1354">
        <f>OFFSET(AF40,0,-1)+1</f>
        <v>12</v>
      </c>
      <c r="AG40" s="2273">
        <f>OFFSET(AG40,0,-1)+1</f>
        <v>13</v>
      </c>
      <c r="AH40" s="2273"/>
      <c r="AI40" s="1354">
        <f>OFFSET(AI40,0,-2)+1</f>
        <v>14</v>
      </c>
      <c r="AJ40" s="1246">
        <f>OFFSET(AJ40,0,-1)</f>
        <v>14</v>
      </c>
      <c r="AK40" s="1354">
        <f>OFFSET(AK40,0,-1)+1</f>
        <v>15</v>
      </c>
      <c r="AL40" s="512"/>
      <c r="AM40" s="512"/>
      <c r="AN40" s="512"/>
      <c r="AO40" s="512"/>
      <c r="AP40" s="512"/>
      <c r="AQ40" s="497">
        <v>0</v>
      </c>
    </row>
    <row customHeight="1" ht="24">
      <c r="A41" s="1364" t="s">
        <v>243</v>
      </c>
      <c r="B41" s="1364"/>
      <c r="C41" s="1364"/>
      <c r="D41" s="1364"/>
      <c r="E41" s="2259">
        <v>1</v>
      </c>
      <c r="F41" s="1364"/>
      <c r="G41" s="1364"/>
      <c r="H41" s="1364"/>
      <c r="I41" s="1364"/>
      <c r="J41" s="1364"/>
      <c r="K41" s="1364"/>
      <c r="L41" s="1365"/>
      <c r="M41" s="1366"/>
      <c r="N41" s="1366"/>
      <c r="O41" s="1366"/>
      <c r="P41" s="362"/>
      <c r="Q41" s="361"/>
      <c r="R41" s="356"/>
      <c r="S41" s="1359">
        <f>INDEX(PT_DIFFERENTIATION_NUM_NTAR,MATCH(A41,PT_DIFFERENTIATION_NTAR_ID,0))</f>
        <v>0</v>
      </c>
      <c r="T41" s="299" t="s">
        <v>131</v>
      </c>
      <c r="U41" s="301"/>
      <c r="V41" s="2243"/>
      <c r="W41" s="2244"/>
      <c r="X41" s="2244"/>
      <c r="Y41" s="2244"/>
      <c r="Z41" s="2244"/>
      <c r="AA41" s="2244"/>
      <c r="AB41" s="2245"/>
      <c r="AC41" s="2243" t="str">
        <f>INDEX(PT_DIFFERENTIATION_NTAR,MATCH(A41,PT_DIFFERENTIATION_NTAR_ID,0))</f>
        <v/>
      </c>
      <c r="AD41" s="2244"/>
      <c r="AE41" s="2244"/>
      <c r="AF41" s="2244"/>
      <c r="AG41" s="2244"/>
      <c r="AH41" s="2244"/>
      <c r="AI41" s="2244"/>
      <c r="AJ41" s="2245"/>
      <c r="AK41" s="1259"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M41" s="501"/>
      <c r="AN41" s="501" t="str">
        <f>IF(T41="","",T41)</f>
        <v>Наименование тарифа</v>
      </c>
      <c r="AO41" s="501"/>
      <c r="AP41" s="501"/>
      <c r="AQ41" s="1156">
        <v>23</v>
      </c>
    </row>
    <row customHeight="1" ht="24">
      <c r="A42" s="1364" t="s">
        <v>243</v>
      </c>
      <c r="B42" s="1364" t="s">
        <v>244</v>
      </c>
      <c r="C42" s="1364"/>
      <c r="D42" s="1364"/>
      <c r="E42" s="2260"/>
      <c r="F42" s="2259">
        <v>1</v>
      </c>
      <c r="G42" s="1364"/>
      <c r="H42" s="1364"/>
      <c r="I42" s="1364"/>
      <c r="J42" s="1364"/>
      <c r="K42" s="1364"/>
      <c r="L42" s="1365"/>
      <c r="M42" s="1366"/>
      <c r="N42" s="1366"/>
      <c r="O42" s="1366"/>
      <c r="P42" s="1357"/>
      <c r="Q42" s="353"/>
      <c r="R42" s="354"/>
      <c r="S42" s="1359" t="str">
        <f>INDEX(PT_DIFFERENTIATION_NUM_TER,MATCH(B42,PT_DIFFERENTIATION_TER_ID,0))</f>
        <v>.</v>
      </c>
      <c r="T42" s="309" t="s">
        <v>414</v>
      </c>
      <c r="U42" s="301"/>
      <c r="V42" s="2243"/>
      <c r="W42" s="2244"/>
      <c r="X42" s="2244"/>
      <c r="Y42" s="2244"/>
      <c r="Z42" s="2244"/>
      <c r="AA42" s="2244"/>
      <c r="AB42" s="2245"/>
      <c r="AC42" s="2243" t="str">
        <f>INDEX(PT_DIFFERENTIATION_TER,MATCH(B42,PT_DIFFERENTIATION_TER_ID,0))</f>
        <v/>
      </c>
      <c r="AD42" s="2244"/>
      <c r="AE42" s="2244"/>
      <c r="AF42" s="2244"/>
      <c r="AG42" s="2244"/>
      <c r="AH42" s="2244"/>
      <c r="AI42" s="2244"/>
      <c r="AJ42" s="2245"/>
      <c r="AK42" s="1259" t="s">
        <v>415</v>
      </c>
      <c r="AM42" s="501"/>
      <c r="AN42" s="501" t="str">
        <f>IF(T42="","",T42)</f>
        <v>Территория действия тарифа</v>
      </c>
      <c r="AO42" s="501"/>
      <c r="AP42" s="501"/>
      <c r="AQ42" s="1156">
        <v>23</v>
      </c>
    </row>
    <row customHeight="1" ht="24">
      <c r="A43" s="1364" t="s">
        <v>243</v>
      </c>
      <c r="B43" s="1364" t="s">
        <v>244</v>
      </c>
      <c r="C43" s="1364" t="s">
        <v>245</v>
      </c>
      <c r="D43" s="1364"/>
      <c r="E43" s="2260"/>
      <c r="F43" s="2260"/>
      <c r="G43" s="2259">
        <v>1</v>
      </c>
      <c r="H43" s="1364"/>
      <c r="I43" s="1364"/>
      <c r="J43" s="1364"/>
      <c r="K43" s="1364"/>
      <c r="L43" s="1365"/>
      <c r="M43" s="1366"/>
      <c r="N43" s="1366"/>
      <c r="O43" s="1366"/>
      <c r="P43" s="355"/>
      <c r="Q43" s="353"/>
      <c r="R43" s="354"/>
      <c r="S43" s="1359" t="str">
        <f>INDEX(PT_DIFFERENTIATION_NUM_CS,MATCH(C43,PT_DIFFERENTIATION_CS_ID,0))</f>
        <v>..</v>
      </c>
      <c r="T43" s="310" t="s">
        <v>500</v>
      </c>
      <c r="U43" s="301"/>
      <c r="V43" s="2243"/>
      <c r="W43" s="2244"/>
      <c r="X43" s="2244"/>
      <c r="Y43" s="2244"/>
      <c r="Z43" s="2244"/>
      <c r="AA43" s="2244"/>
      <c r="AB43" s="2245"/>
      <c r="AC43" s="2243" t="str">
        <f>INDEX(PT_DIFFERENTIATION_CS,MATCH(C43,PT_DIFFERENTIATION_CS_ID,0))</f>
        <v/>
      </c>
      <c r="AD43" s="2244"/>
      <c r="AE43" s="2244"/>
      <c r="AF43" s="2244"/>
      <c r="AG43" s="2244"/>
      <c r="AH43" s="2244"/>
      <c r="AI43" s="2244"/>
      <c r="AJ43" s="2245"/>
      <c r="AK43" s="1259" t="s">
        <v>501</v>
      </c>
      <c r="AM43" s="501"/>
      <c r="AN43" s="501" t="str">
        <f>IF(T43="","",T43)</f>
        <v>Наименование централизованной системы холодного водоснабжения</v>
      </c>
      <c r="AO43" s="501"/>
      <c r="AP43" s="501"/>
      <c r="AQ43" s="1156">
        <v>23</v>
      </c>
    </row>
    <row customHeight="1" ht="24">
      <c r="A44" s="1364" t="s">
        <v>243</v>
      </c>
      <c r="B44" s="1364" t="s">
        <v>244</v>
      </c>
      <c r="C44" s="1364" t="s">
        <v>245</v>
      </c>
      <c r="D44" s="1364" t="s">
        <v>514</v>
      </c>
      <c r="E44" s="2260"/>
      <c r="F44" s="2260"/>
      <c r="G44" s="2260"/>
      <c r="H44" s="2260"/>
      <c r="I44" s="2257" t="str">
        <f>S43&amp;".1"</f>
        <v>...1</v>
      </c>
      <c r="J44" s="1364"/>
      <c r="K44" s="1364"/>
      <c r="L44" s="1365"/>
      <c r="P44" s="2258">
        <v>1</v>
      </c>
      <c r="Q44" s="1355"/>
      <c r="R44" s="357"/>
      <c r="S44" s="1359" t="str">
        <f>$I44</f>
        <v>...1</v>
      </c>
      <c r="T44" s="286" t="s">
        <v>502</v>
      </c>
      <c r="U44" s="301"/>
      <c r="V44" s="2351"/>
      <c r="W44" s="2352"/>
      <c r="X44" s="2352"/>
      <c r="Y44" s="2352"/>
      <c r="Z44" s="2352"/>
      <c r="AA44" s="2352"/>
      <c r="AB44" s="2353"/>
      <c r="AC44" s="2354"/>
      <c r="AD44" s="2355"/>
      <c r="AE44" s="2355"/>
      <c r="AF44" s="2355"/>
      <c r="AG44" s="2355"/>
      <c r="AH44" s="2355"/>
      <c r="AI44" s="2355"/>
      <c r="AJ44" s="2356"/>
      <c r="AK44" s="1259" t="s">
        <v>503</v>
      </c>
      <c r="AM44" s="501"/>
      <c r="AN44" s="501" t="str">
        <f>IF(T44="","",T44)</f>
        <v>Наименование признака дифференциации</v>
      </c>
      <c r="AO44" s="501"/>
      <c r="AP44" s="501"/>
      <c r="AQ44" s="1156">
        <v>23</v>
      </c>
    </row>
    <row customHeight="1" ht="24">
      <c r="A45" s="1364" t="s">
        <v>243</v>
      </c>
      <c r="B45" s="1364" t="s">
        <v>244</v>
      </c>
      <c r="C45" s="1364" t="s">
        <v>245</v>
      </c>
      <c r="D45" s="1364" t="s">
        <v>514</v>
      </c>
      <c r="E45" s="2260"/>
      <c r="F45" s="2260"/>
      <c r="G45" s="2260"/>
      <c r="H45" s="2260"/>
      <c r="I45" s="2287"/>
      <c r="J45" s="2257" t="str">
        <f>I44&amp;".1"</f>
        <v>...1.1</v>
      </c>
      <c r="K45" s="1364"/>
      <c r="L45" s="1365" t="s">
        <v>423</v>
      </c>
      <c r="P45" s="2258"/>
      <c r="Q45" s="2258">
        <v>1</v>
      </c>
      <c r="R45" s="358"/>
      <c r="S45" s="1359" t="str">
        <f>$J45</f>
        <v>...1.1</v>
      </c>
      <c r="T45" s="287" t="s">
        <v>424</v>
      </c>
      <c r="U45" s="301"/>
      <c r="V45" s="2246"/>
      <c r="W45" s="2247"/>
      <c r="X45" s="2247"/>
      <c r="Y45" s="2247"/>
      <c r="Z45" s="2247"/>
      <c r="AA45" s="2247"/>
      <c r="AB45" s="2248"/>
      <c r="AC45" s="2246"/>
      <c r="AD45" s="2247"/>
      <c r="AE45" s="2247"/>
      <c r="AF45" s="2247"/>
      <c r="AG45" s="2247"/>
      <c r="AH45" s="2247"/>
      <c r="AI45" s="2247"/>
      <c r="AJ45" s="2248"/>
      <c r="AK45" s="1308" t="s">
        <v>504</v>
      </c>
      <c r="AM45" s="501"/>
      <c r="AN45" s="501" t="str">
        <f>IF(T45="","",T45)</f>
        <v>Группа потребителей</v>
      </c>
      <c r="AO45" s="501"/>
      <c r="AP45" s="501"/>
      <c r="AQ45" s="1156">
        <v>23</v>
      </c>
    </row>
    <row customHeight="1" ht="24">
      <c r="A46" s="1364" t="s">
        <v>243</v>
      </c>
      <c r="B46" s="1364" t="s">
        <v>244</v>
      </c>
      <c r="C46" s="1364" t="s">
        <v>245</v>
      </c>
      <c r="D46" s="1364" t="s">
        <v>514</v>
      </c>
      <c r="E46" s="2260"/>
      <c r="F46" s="2260"/>
      <c r="G46" s="2260"/>
      <c r="H46" s="2260"/>
      <c r="I46" s="2287"/>
      <c r="J46" s="2287"/>
      <c r="K46" s="2257" t="str">
        <f>J45&amp;".1"</f>
        <v>...1.1.1</v>
      </c>
      <c r="L46" s="1365"/>
      <c r="P46" s="2258"/>
      <c r="Q46" s="2258"/>
      <c r="R46" s="358">
        <v>1</v>
      </c>
      <c r="S46" s="1359" t="str">
        <f>$K46</f>
        <v>...1.1.1</v>
      </c>
      <c r="T46" s="1438"/>
      <c r="U46" s="301"/>
      <c r="V46" s="1361"/>
      <c r="W46" s="1361"/>
      <c r="X46" s="1362"/>
      <c r="Y46" s="2268"/>
      <c r="Z46" s="2269" t="s">
        <v>61</v>
      </c>
      <c r="AA46" s="2268"/>
      <c r="AB46" s="2269" t="s">
        <v>61</v>
      </c>
      <c r="AC46" s="752"/>
      <c r="AD46" s="752"/>
      <c r="AE46" s="1258"/>
      <c r="AF46" s="2266"/>
      <c r="AG46" s="2108" t="s">
        <v>61</v>
      </c>
      <c r="AH46" s="2288"/>
      <c r="AI46" s="2108" t="s">
        <v>19</v>
      </c>
      <c r="AJ46" s="1439"/>
      <c r="AK46" s="2350"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46" s="512">
        <f>STRCHECKDATE(V47:AJ47)</f>
      </c>
      <c r="AM46" s="501"/>
      <c r="AN46" s="501" t="str">
        <f>IF(T46="","",T46)</f>
        <v/>
      </c>
      <c r="AO46" s="501"/>
      <c r="AP46" s="501"/>
      <c r="AQ46" s="1156">
        <v>23</v>
      </c>
    </row>
    <row customHeight="1" ht="0">
      <c r="A47" s="1364" t="s">
        <v>243</v>
      </c>
      <c r="B47" s="1364" t="s">
        <v>244</v>
      </c>
      <c r="C47" s="1364" t="s">
        <v>245</v>
      </c>
      <c r="D47" s="1364" t="s">
        <v>514</v>
      </c>
      <c r="E47" s="2260"/>
      <c r="F47" s="2260"/>
      <c r="G47" s="2260"/>
      <c r="H47" s="2260"/>
      <c r="I47" s="2287"/>
      <c r="J47" s="2287"/>
      <c r="K47" s="2257"/>
      <c r="L47" s="1365"/>
      <c r="P47" s="2258"/>
      <c r="Q47" s="2258"/>
      <c r="R47" s="358"/>
      <c r="S47" s="1360"/>
      <c r="T47" s="301"/>
      <c r="U47" s="301"/>
      <c r="V47" s="1361"/>
      <c r="W47" s="1361"/>
      <c r="X47" s="329" t="str">
        <f>Y46&amp;"-"&amp;AA46</f>
        <v>-</v>
      </c>
      <c r="Y47" s="2269"/>
      <c r="Z47" s="2269"/>
      <c r="AA47" s="2269"/>
      <c r="AB47" s="2269"/>
      <c r="AC47" s="326"/>
      <c r="AD47" s="326"/>
      <c r="AE47" s="329" t="str">
        <f>AF46&amp;"-"&amp;AH46</f>
        <v>-</v>
      </c>
      <c r="AF47" s="2267"/>
      <c r="AG47" s="2108"/>
      <c r="AH47" s="2289"/>
      <c r="AI47" s="2108"/>
      <c r="AJ47" s="1440"/>
      <c r="AK47" s="2350"/>
      <c r="AM47" s="501"/>
      <c r="AN47" s="501" t="str">
        <f>IF(T47="","",T47)</f>
        <v/>
      </c>
      <c r="AO47" s="501"/>
      <c r="AP47" s="501"/>
      <c r="AQ47" s="1156">
        <v>0</v>
      </c>
    </row>
    <row customHeight="1" ht="21">
      <c r="A48" s="1364" t="s">
        <v>243</v>
      </c>
      <c r="B48" s="1364" t="s">
        <v>244</v>
      </c>
      <c r="C48" s="1364" t="s">
        <v>245</v>
      </c>
      <c r="D48" s="1364" t="s">
        <v>514</v>
      </c>
      <c r="E48" s="2260"/>
      <c r="F48" s="2260"/>
      <c r="G48" s="2260"/>
      <c r="H48" s="2260"/>
      <c r="I48" s="2287"/>
      <c r="J48" s="2257"/>
      <c r="K48" s="1364"/>
      <c r="L48" s="1365"/>
      <c r="P48" s="2258"/>
      <c r="Q48" s="2258"/>
      <c r="R48" s="357"/>
      <c r="S48" s="1279"/>
      <c r="T48" s="288" t="s">
        <v>505</v>
      </c>
      <c r="U48" s="368"/>
      <c r="V48" s="368"/>
      <c r="W48" s="368"/>
      <c r="X48" s="368"/>
      <c r="Y48" s="368"/>
      <c r="Z48" s="368"/>
      <c r="AA48" s="368"/>
      <c r="AB48" s="368"/>
      <c r="AC48" s="368"/>
      <c r="AD48" s="368"/>
      <c r="AE48" s="368"/>
      <c r="AF48" s="368"/>
      <c r="AG48" s="368"/>
      <c r="AH48" s="368"/>
      <c r="AI48" s="368"/>
      <c r="AJ48" s="368"/>
      <c r="AK48" s="1259" t="s">
        <v>506</v>
      </c>
      <c r="AM48" s="501"/>
      <c r="AN48" s="501" t="str">
        <f>IF(T48="","",T48)</f>
        <v>Добавить значение признака дифференциации</v>
      </c>
      <c r="AO48" s="501"/>
      <c r="AP48" s="501"/>
      <c r="AQ48" s="1156">
        <v>20</v>
      </c>
    </row>
    <row customHeight="1" ht="22.049999999999997">
      <c r="A49" s="1364" t="s">
        <v>243</v>
      </c>
      <c r="B49" s="1364" t="s">
        <v>244</v>
      </c>
      <c r="C49" s="1364" t="s">
        <v>245</v>
      </c>
      <c r="D49" s="1364" t="s">
        <v>514</v>
      </c>
      <c r="E49" s="2260"/>
      <c r="F49" s="2260"/>
      <c r="G49" s="2260"/>
      <c r="H49" s="2260"/>
      <c r="I49" s="2257"/>
      <c r="J49" s="1364"/>
      <c r="K49" s="1364"/>
      <c r="L49" s="1365"/>
      <c r="P49" s="2258"/>
      <c r="Q49" s="1355"/>
      <c r="R49" s="357"/>
      <c r="S49" s="1279"/>
      <c r="T49" s="366" t="s">
        <v>429</v>
      </c>
      <c r="U49" s="368"/>
      <c r="V49" s="368"/>
      <c r="W49" s="368"/>
      <c r="X49" s="368"/>
      <c r="Y49" s="368"/>
      <c r="Z49" s="368"/>
      <c r="AA49" s="368"/>
      <c r="AB49" s="367"/>
      <c r="AC49" s="368"/>
      <c r="AD49" s="368"/>
      <c r="AE49" s="368"/>
      <c r="AF49" s="368"/>
      <c r="AG49" s="368"/>
      <c r="AH49" s="368"/>
      <c r="AI49" s="367"/>
      <c r="AJ49" s="368"/>
      <c r="AK49" s="1441"/>
      <c r="AM49" s="501"/>
      <c r="AN49" s="501" t="str">
        <f>IF(T49="","",T49)</f>
        <v>Добавить группу потребителей</v>
      </c>
      <c r="AO49" s="501"/>
      <c r="AP49" s="501"/>
      <c r="AQ49" s="1156">
        <v>21</v>
      </c>
    </row>
    <row customHeight="1" ht="22.049999999999997">
      <c r="A50" s="1364" t="s">
        <v>243</v>
      </c>
      <c r="B50" s="1364" t="s">
        <v>244</v>
      </c>
      <c r="C50" s="1364" t="s">
        <v>245</v>
      </c>
      <c r="D50" s="1364" t="s">
        <v>514</v>
      </c>
      <c r="E50" s="2260"/>
      <c r="F50" s="2260"/>
      <c r="G50" s="2260"/>
      <c r="H50" s="2259"/>
      <c r="I50" s="1364"/>
      <c r="J50" s="1364"/>
      <c r="K50" s="1364"/>
      <c r="L50" s="1365"/>
      <c r="M50" s="1366"/>
      <c r="N50" s="1366"/>
      <c r="O50" s="538"/>
      <c r="P50" s="361"/>
      <c r="Q50" s="376"/>
      <c r="R50" s="356"/>
      <c r="S50" s="1279"/>
      <c r="T50" s="373" t="s">
        <v>507</v>
      </c>
      <c r="U50" s="368"/>
      <c r="V50" s="368"/>
      <c r="W50" s="368"/>
      <c r="X50" s="368"/>
      <c r="Y50" s="368"/>
      <c r="Z50" s="368"/>
      <c r="AA50" s="368"/>
      <c r="AB50" s="367"/>
      <c r="AC50" s="368"/>
      <c r="AD50" s="368"/>
      <c r="AE50" s="368"/>
      <c r="AF50" s="368"/>
      <c r="AG50" s="368"/>
      <c r="AH50" s="368"/>
      <c r="AI50" s="367"/>
      <c r="AJ50" s="368"/>
      <c r="AK50" s="304"/>
      <c r="AM50" s="501"/>
      <c r="AN50" s="501" t="str">
        <f>IF(T50="","",T50)</f>
        <v>Добавить наименование признака дифференциации</v>
      </c>
      <c r="AO50" s="501"/>
      <c r="AP50" s="501"/>
      <c r="AQ50" s="1156">
        <v>21</v>
      </c>
    </row>
    <row s="1643" customFormat="1" customHeight="1" ht="0">
      <c r="A51" s="1344" t="s">
        <v>243</v>
      </c>
      <c r="B51" s="1344" t="s">
        <v>244</v>
      </c>
      <c r="C51" s="1315"/>
      <c r="D51" s="1315"/>
      <c r="E51" s="2260"/>
      <c r="F51" s="2259"/>
      <c r="G51" s="1315"/>
      <c r="H51" s="1315"/>
      <c r="I51" s="1315"/>
      <c r="J51" s="1315"/>
      <c r="K51" s="1315"/>
      <c r="L51" s="1427"/>
      <c r="M51" s="1322"/>
      <c r="N51" s="1322"/>
      <c r="P51" s="1317"/>
      <c r="Q51" s="1318"/>
      <c r="R51" s="1317"/>
      <c r="S51" s="1323"/>
      <c r="T51" s="1326" t="s">
        <v>177</v>
      </c>
      <c r="U51" s="1325"/>
      <c r="V51" s="1325"/>
      <c r="W51" s="1325"/>
      <c r="X51" s="1325"/>
      <c r="Y51" s="1325"/>
      <c r="Z51" s="1325"/>
      <c r="AA51" s="1325"/>
      <c r="AB51" s="1325"/>
      <c r="AC51" s="1325"/>
      <c r="AD51" s="1325"/>
      <c r="AE51" s="1325"/>
      <c r="AF51" s="1325"/>
      <c r="AG51" s="1325"/>
      <c r="AH51" s="1325"/>
      <c r="AI51" s="1325"/>
      <c r="AJ51" s="1325"/>
      <c r="AK51" s="1325"/>
      <c r="AM51" s="790"/>
      <c r="AN51" s="790" t="str">
        <f>IF(T51="","",T51)</f>
        <v>Добавить централизованную систему для дифференциации</v>
      </c>
      <c r="AO51" s="790"/>
      <c r="AP51" s="790"/>
      <c r="AQ51" s="519">
        <v>0</v>
      </c>
    </row>
    <row s="1643" customFormat="1" customHeight="1" ht="0">
      <c r="A52" s="1344" t="s">
        <v>243</v>
      </c>
      <c r="B52" s="1344"/>
      <c r="C52" s="1344"/>
      <c r="D52" s="1344"/>
      <c r="E52" s="2259"/>
      <c r="F52" s="1344"/>
      <c r="G52" s="1344"/>
      <c r="H52" s="1344"/>
      <c r="I52" s="1344"/>
      <c r="J52" s="1344"/>
      <c r="K52" s="1344"/>
      <c r="L52" s="1347"/>
      <c r="M52" s="1322"/>
      <c r="N52" s="1322"/>
      <c r="O52" s="519"/>
      <c r="P52" s="381"/>
      <c r="Q52" s="1345"/>
      <c r="R52" s="381"/>
      <c r="S52" s="1323"/>
      <c r="T52" s="1326" t="s">
        <v>178</v>
      </c>
      <c r="U52" s="1325"/>
      <c r="V52" s="1325"/>
      <c r="W52" s="1325"/>
      <c r="X52" s="1325"/>
      <c r="Y52" s="1325"/>
      <c r="Z52" s="1325"/>
      <c r="AA52" s="1325"/>
      <c r="AB52" s="1325"/>
      <c r="AC52" s="1325"/>
      <c r="AD52" s="1325"/>
      <c r="AE52" s="1325"/>
      <c r="AF52" s="1325"/>
      <c r="AG52" s="1325"/>
      <c r="AH52" s="1325"/>
      <c r="AI52" s="1325"/>
      <c r="AJ52" s="1325"/>
      <c r="AK52" s="1325"/>
      <c r="AM52" s="501"/>
      <c r="AN52" s="501" t="str">
        <f>IF(T52="","",T52)</f>
        <v>Добавить территорию для дифференциации</v>
      </c>
      <c r="AO52" s="501"/>
      <c r="AP52" s="501"/>
      <c r="AQ52" s="512">
        <v>0</v>
      </c>
    </row>
    <row s="1643" customFormat="1" customHeight="1" ht="0">
      <c r="A53" s="1315"/>
      <c r="B53" s="1315"/>
      <c r="C53" s="1315"/>
      <c r="D53" s="1315"/>
      <c r="E53" s="1344"/>
      <c r="F53" s="1315"/>
      <c r="G53" s="1315"/>
      <c r="H53" s="1315"/>
      <c r="I53" s="1315"/>
      <c r="J53" s="1315"/>
      <c r="K53" s="1315"/>
      <c r="L53" s="1427"/>
      <c r="M53" s="1322"/>
      <c r="N53" s="1322"/>
      <c r="P53" s="1317"/>
      <c r="Q53" s="1318"/>
      <c r="R53" s="1317"/>
      <c r="S53" s="1323"/>
      <c r="T53" s="1326" t="s">
        <v>184</v>
      </c>
      <c r="U53" s="1325"/>
      <c r="V53" s="1325"/>
      <c r="W53" s="1325"/>
      <c r="X53" s="1325"/>
      <c r="Y53" s="1325"/>
      <c r="Z53" s="1325"/>
      <c r="AA53" s="1325"/>
      <c r="AB53" s="1325"/>
      <c r="AC53" s="1325"/>
      <c r="AD53" s="1325"/>
      <c r="AE53" s="1325"/>
      <c r="AF53" s="1325"/>
      <c r="AG53" s="1325"/>
      <c r="AH53" s="1325"/>
      <c r="AI53" s="1325"/>
      <c r="AJ53" s="1325"/>
      <c r="AK53" s="1325"/>
      <c r="AM53" s="790"/>
      <c r="AN53" s="790" t="str">
        <f>IF(T53="","",T53)</f>
        <v>Добавить наименование тарифа</v>
      </c>
      <c r="AO53" s="790"/>
      <c r="AP53" s="790"/>
      <c r="AQ53" s="519">
        <v>0</v>
      </c>
    </row>
    <row customHeight="1" ht="11.549999999999999">
      <c r="M54" s="1161"/>
      <c r="N54" s="1161"/>
      <c r="O54" s="538"/>
      <c r="P54" s="1156"/>
      <c r="Q54" s="1156"/>
      <c r="R54" s="1156"/>
      <c r="S54" s="1156"/>
      <c r="AL54" s="1156"/>
      <c r="AM54" s="1156"/>
      <c r="AN54" s="1156"/>
      <c r="AO54" s="1156"/>
      <c r="AP54" s="1156"/>
      <c r="AQ54" s="1156">
        <v>11</v>
      </c>
    </row>
    <row customHeight="1" ht="14.699999999999998">
      <c r="O55" s="538"/>
      <c r="S55" s="1254"/>
      <c r="T55" s="2286"/>
      <c r="U55" s="2286"/>
      <c r="V55" s="2286"/>
      <c r="W55" s="2286"/>
      <c r="X55" s="2286"/>
      <c r="Y55" s="2286"/>
      <c r="Z55" s="2286"/>
      <c r="AA55" s="2286"/>
      <c r="AB55" s="2286"/>
      <c r="AC55" s="2286"/>
      <c r="AD55" s="2286"/>
      <c r="AE55" s="2286"/>
      <c r="AF55" s="2286"/>
      <c r="AG55" s="2286"/>
      <c r="AH55" s="2286"/>
      <c r="AI55" s="2286"/>
      <c r="AJ55" s="2286"/>
      <c r="AK55" s="2286"/>
      <c r="AQ55" s="1156">
        <v>14</v>
      </c>
    </row>
    <row customHeight="1" ht="14.699999999999998">
      <c r="O56" s="538"/>
      <c r="AQ56" s="1156">
        <v>14</v>
      </c>
    </row>
    <row customHeight="1" ht="14.699999999999998">
      <c r="O57" s="538"/>
      <c r="S57" s="1254"/>
      <c r="T57" s="2286"/>
      <c r="U57" s="2286"/>
      <c r="V57" s="2286"/>
      <c r="W57" s="2286"/>
      <c r="X57" s="2286"/>
      <c r="Y57" s="2286"/>
      <c r="Z57" s="2286"/>
      <c r="AA57" s="2286"/>
      <c r="AB57" s="2286"/>
      <c r="AC57" s="2286"/>
      <c r="AD57" s="2286"/>
      <c r="AE57" s="2286"/>
      <c r="AF57" s="2286"/>
      <c r="AG57" s="2286"/>
      <c r="AH57" s="2286"/>
      <c r="AI57" s="2286"/>
      <c r="AJ57" s="2286"/>
      <c r="AK57" s="2286"/>
      <c r="AQ57" s="1156">
        <v>14</v>
      </c>
    </row>
    <row customHeight="1" ht="22.5" hidden="1">
      <c r="A58" s="1161" t="s">
        <v>83</v>
      </c>
      <c r="B58" s="1161">
        <v>0</v>
      </c>
      <c r="C58" s="1161">
        <v>0</v>
      </c>
      <c r="D58" s="1161">
        <v>0</v>
      </c>
      <c r="E58" s="1161">
        <v>0</v>
      </c>
      <c r="F58" s="1161">
        <v>0</v>
      </c>
      <c r="G58" s="1161">
        <v>0</v>
      </c>
      <c r="H58" s="1161">
        <v>0</v>
      </c>
      <c r="I58" s="1161">
        <v>0</v>
      </c>
      <c r="J58" s="1161">
        <v>0</v>
      </c>
      <c r="K58" s="1161">
        <v>0</v>
      </c>
      <c r="L58" s="1422">
        <v>0</v>
      </c>
      <c r="M58" s="1363">
        <v>0</v>
      </c>
      <c r="N58" s="1363">
        <v>0</v>
      </c>
      <c r="O58" s="1363">
        <v>0</v>
      </c>
      <c r="P58" s="1352">
        <v>3</v>
      </c>
      <c r="Q58" s="345">
        <v>3</v>
      </c>
      <c r="R58" s="345">
        <v>3</v>
      </c>
      <c r="S58" s="582">
        <v>12</v>
      </c>
      <c r="T58" s="1156">
        <v>35</v>
      </c>
      <c r="U58" s="1156">
        <v>0</v>
      </c>
      <c r="V58" s="1156">
        <v>0</v>
      </c>
      <c r="W58" s="1156">
        <v>0</v>
      </c>
      <c r="X58" s="1156">
        <v>0</v>
      </c>
      <c r="Y58" s="1156">
        <v>0</v>
      </c>
      <c r="Z58" s="1156">
        <v>0</v>
      </c>
      <c r="AA58" s="1156">
        <v>0</v>
      </c>
      <c r="AB58" s="1156">
        <v>0</v>
      </c>
      <c r="AC58" s="1156">
        <v>24</v>
      </c>
      <c r="AD58" s="1156">
        <v>24</v>
      </c>
      <c r="AE58" s="1156">
        <v>24</v>
      </c>
      <c r="AF58" s="1156">
        <v>11</v>
      </c>
      <c r="AG58" s="1156">
        <v>3</v>
      </c>
      <c r="AH58" s="1156">
        <v>11</v>
      </c>
      <c r="AI58" s="1156">
        <v>0</v>
      </c>
      <c r="AJ58" s="1156">
        <v>4</v>
      </c>
      <c r="AK58" s="1156">
        <v>115</v>
      </c>
      <c r="AL58" s="512">
        <v>10</v>
      </c>
      <c r="AM58" s="512">
        <v>10</v>
      </c>
      <c r="AN58" s="512">
        <v>10</v>
      </c>
      <c r="AO58" s="512">
        <v>10</v>
      </c>
      <c r="AP58" s="512">
        <v>10</v>
      </c>
      <c r="AQ58" s="1156">
        <v>23</v>
      </c>
    </row>
  </sheetData>
  <sheetProtection formatColumns="0" formatRows="0" autoFilter="0" sort="0" insertRows="0" insertColumns="1" deleteRows="0" deleteColumns="0"/>
  <mergeCells count="101">
    <mergeCell ref="E2:E13"/>
    <mergeCell ref="V2:AB2"/>
    <mergeCell ref="AC2:AJ2"/>
    <mergeCell ref="F3:F12"/>
    <mergeCell ref="V3:AB3"/>
    <mergeCell ref="AC3:AJ3"/>
    <mergeCell ref="G4:G11"/>
    <mergeCell ref="V4:AB4"/>
    <mergeCell ref="AC4:AJ4"/>
    <mergeCell ref="H5:H11"/>
    <mergeCell ref="AI7:AI8"/>
    <mergeCell ref="K7:K8"/>
    <mergeCell ref="Y7:Y8"/>
    <mergeCell ref="Z7:Z8"/>
    <mergeCell ref="AA7:AA8"/>
    <mergeCell ref="AB7:AB8"/>
    <mergeCell ref="I5:I10"/>
    <mergeCell ref="P5:P10"/>
    <mergeCell ref="V5:AB5"/>
    <mergeCell ref="AC5:AJ5"/>
    <mergeCell ref="J6:J9"/>
    <mergeCell ref="Q6:Q9"/>
    <mergeCell ref="V6:AB6"/>
    <mergeCell ref="AC6:AJ6"/>
    <mergeCell ref="AK7:AK8"/>
    <mergeCell ref="S24:AH24"/>
    <mergeCell ref="S25:AH25"/>
    <mergeCell ref="S27:T27"/>
    <mergeCell ref="V27:AA27"/>
    <mergeCell ref="AC27:AH27"/>
    <mergeCell ref="S28:T28"/>
    <mergeCell ref="V28:AA28"/>
    <mergeCell ref="AC28:AH28"/>
    <mergeCell ref="AG7:AG8"/>
    <mergeCell ref="AH7:AH8"/>
    <mergeCell ref="AF15:AF16"/>
    <mergeCell ref="AG15:AG16"/>
    <mergeCell ref="AH15:AH16"/>
    <mergeCell ref="AI15:AI16"/>
    <mergeCell ref="AF7:AF8"/>
    <mergeCell ref="AC29:AH29"/>
    <mergeCell ref="S30:T30"/>
    <mergeCell ref="V30:AA30"/>
    <mergeCell ref="AC30:AH30"/>
    <mergeCell ref="V35:AB35"/>
    <mergeCell ref="AC35:AI35"/>
    <mergeCell ref="S36:AJ36"/>
    <mergeCell ref="AK36:AK39"/>
    <mergeCell ref="S37:S39"/>
    <mergeCell ref="T37:T39"/>
    <mergeCell ref="V37:AA37"/>
    <mergeCell ref="AB37:AB39"/>
    <mergeCell ref="AC37:AH37"/>
    <mergeCell ref="AI37:AI39"/>
    <mergeCell ref="S32:T32"/>
    <mergeCell ref="V32:AA32"/>
    <mergeCell ref="AC32:AH32"/>
    <mergeCell ref="S33:T33"/>
    <mergeCell ref="V33:AA33"/>
    <mergeCell ref="AC33:AH33"/>
    <mergeCell ref="S29:T29"/>
    <mergeCell ref="V29:AA29"/>
    <mergeCell ref="AJ37:AJ39"/>
    <mergeCell ref="W38:X38"/>
    <mergeCell ref="E41:E52"/>
    <mergeCell ref="V41:AB41"/>
    <mergeCell ref="AC41:AJ41"/>
    <mergeCell ref="F42:F51"/>
    <mergeCell ref="V42:AB42"/>
    <mergeCell ref="AC42:AJ42"/>
    <mergeCell ref="G43:G50"/>
    <mergeCell ref="Y38:AA38"/>
    <mergeCell ref="AD38:AE38"/>
    <mergeCell ref="AF38:AH38"/>
    <mergeCell ref="Z39:AA39"/>
    <mergeCell ref="H44:H50"/>
    <mergeCell ref="I44:I49"/>
    <mergeCell ref="P44:P49"/>
    <mergeCell ref="V44:AB44"/>
    <mergeCell ref="AC44:AJ44"/>
    <mergeCell ref="J45:J48"/>
    <mergeCell ref="AG39:AH39"/>
    <mergeCell ref="Z40:AA40"/>
    <mergeCell ref="AG40:AH40"/>
    <mergeCell ref="K46:K47"/>
    <mergeCell ref="Y46:Y47"/>
    <mergeCell ref="V43:AB43"/>
    <mergeCell ref="AC43:AJ43"/>
    <mergeCell ref="T55:AK55"/>
    <mergeCell ref="T57:AK57"/>
    <mergeCell ref="Q45:Q48"/>
    <mergeCell ref="V45:AB45"/>
    <mergeCell ref="AC45:AJ45"/>
    <mergeCell ref="Z46:Z47"/>
    <mergeCell ref="AA46:AA47"/>
    <mergeCell ref="AB46:AB47"/>
    <mergeCell ref="AF46:AF47"/>
    <mergeCell ref="AG46:AG47"/>
    <mergeCell ref="AK46:AK47"/>
    <mergeCell ref="AH46:AH47"/>
    <mergeCell ref="AI46:AI47"/>
  </mergeCells>
  <dataValidations count="8">
    <dataValidation type="list" allowBlank="1" showInputMessage="1" errorTitle="Ошибка" error="Выберите значение из списка" prompt="Выберите значение из списка" sqref="V983081:AJ983081 V65577:AJ65577 V131113:AJ131113 V196649:AJ196649 V262185:AJ262185 V327721:AJ327721 V393257:AJ393257 V458793:AJ458793 V524329:AJ524329 V589865:AJ589865 V655401:AJ655401 V720937:AJ720937 V786473:AJ786473 V852009:AJ852009 V917545:AJ917545">
      <formula1>kind_of_cons</formula1>
    </dataValidation>
    <dataValidation allowBlank="1" sqref="S131116:AK131122 S196652:AK196658 S262188:AK262194 S327724:AK327730 S393260:AK393266 S458796:AK458802 S524332:AK524338 S589868:AK589874 S655404:AK655410 S720940:AK720946 S786476:AK786482 S852012:AK852018 S917548:AK917554 S983084:AK983090 S65580:AK65586"/>
    <dataValidation allowBlank="1" showInputMessage="1" showErrorMessage="1" prompt="Для выбора выполните двойной щелчок левой клавиши мыши по соответствующей ячейке." sqref="Z65578 Z131114 Z196650 Z262186 Z327722 Z393258 Z458794 Z524330 Z589866 Z655402 Z720938 Z786474 Z852010 Z917546 Z983082 AB131114 AB458794 AB196650 AB262186 AB327722 AB393258 AB524330 AB589866 AB655402 AB720938 AB786474 AB852010 AB917546 AB983082 AB65578 AG65578 AG131114 AG196650 AG262186 AG327722 AG393258 AG458794 AG524330 AG589866 AG655402 AG720938 AG786474 AG852010 AG917546 AG983082 AI524330 AI196650 AI589866 AI655402 AI15 AI720938 AI786474 AI852010 AI917546 AI983082 AI65578 AI131114 AI458794 AI262186 AI7 AG46 AI327722 AG15 AG7 Z7 AB7 AI393258 AI46 Z46 AB46"/>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Y65578 Y131114 Y196650 Y262186 Y327722 Y393258 Y458794 Y524330 Y589866 Y655402 Y720938 Y786474 Y852010 Y917546 Y983082 AA65578 AA131114 AA196650 AA262186 AA327722 AA393258 AA458794 AA524330 AA589866 AA655402 AA720938 AA786474 AA852010 AA917546 AA983082 AF15 AF65578 AF131114 AF196650 AF262186 AF327722 AF393258 AF458794 AF524330 AF589866 AF655402 AF720938 AF786474 AF852010 AF917546 AF983082 AH65578 AH131114 AH196650 AH262186 AH327722 AH393258 AH458794 AH524330 AH589866 AH655402 AH720938 AH786474 AH852010 AH917546 AH983082 AH46 AF46 AH15 AH7 AF7 Y7 AA7 Y46 AA46"/>
    <dataValidation type="list" allowBlank="1" showInputMessage="1" showErrorMessage="1" errorTitle="Ошибка" error="Выберите значение из списка" sqref="T65578 T131114 T196650 T262186 T327722 T393258 T458794 T524330 T589866 T655402 T720938 T786474 T852010 T917546 T983082">
      <formula1>kind_of_heat_transfer</formula1>
    </dataValidation>
    <dataValidation type="textLength" operator="lessThanOrEqual" allowBlank="1" showInputMessage="1" showErrorMessage="1" errorTitle="Ошибка" error="Допускается ввод не более 900 символов!" sqref="AK65572:AK65579 AK131108:AK131115 AK196644:AK196651 AK262180:AK262187 AK327716:AK327723 AK393252:AK393259 AK458788:AK458795 AK524324:AK524331 AK589860:AK589867 AK655396:AK655403 AK720932:AK720939 AK786468:AK786475 AK852004:AK852011 AK917540:AK917547 AK983076:AK983083 T46 T7 AC5:AJ5 AC44:AJ44">
      <formula1>900</formula1>
    </dataValidation>
    <dataValidation type="list" allowBlank="1" showInputMessage="1" showErrorMessage="1" errorTitle="Ошибка" error="Выберите значение из списка" sqref="V983080 V65576 V131112 V196648 V262184 V327720 V393256 V458792 V524328 V589864 V655400 V720936 V786472 V852008 V917544 AC983080 AC65576 AC131112 AC196648 AC262184 AC327720 AC393256 AC458792 AC524328 AC589864 AC655400 AC720936 AC786472 AC852008 AC917544">
      <formula1>kind_of_scheme_in</formula1>
    </dataValidation>
    <dataValidation allowBlank="1" promptTitle="checkPeriodRange" sqref="X65579 X131115 X196651 X262187 X327723 X393259 X458795 X524331 X589867 X655403 X720939 X786475 X852011 X917547 X983083 AE16 AE65579 AE131115 AE196651 AE262187 AE327723 AE393259 AE458795 AE524331 AE589867 AE655403 AE720939 AE786475 AE852011 AE917547 AE983083 AE47 AE8 X8 X47"/>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5BBD4F93-80D7-CCD8-A35F-2512F9FED285}" mc:Ignorable="x14ac xr xr2 xr3">
  <sheetPr>
    <tabColor theme="6" tint="0.4"/>
  </sheetPr>
  <dimension ref="A1:AQ58"/>
  <sheetViews>
    <sheetView showGridLines="0" zoomScale="90" workbookViewId="0">
      <pane xSplit="28" ySplit="40" topLeftCell="AC41" activePane="bottomRight" state="frozen"/>
      <selection pane="bottomLeft" activeCell="A41" sqref="A41"/>
      <selection pane="topRight" activeCell="AC1" sqref="AC1"/>
      <selection pane="bottomRight" activeCell="A1" sqref="A1"/>
    </sheetView>
  </sheetViews>
  <sheetFormatPr defaultColWidth="10.57421875" customHeight="1" defaultRowHeight="14.25"/>
  <cols>
    <col min="1" max="1" style="1367" width="10.57421875" hidden="1"/>
    <col min="2" max="2" style="1367" width="11.00390625" hidden="1" customWidth="1"/>
    <col min="3" max="3" style="1367" width="10.57421875" hidden="1"/>
    <col min="4" max="4" style="1367" width="11.8515625" hidden="1" customWidth="1"/>
    <col min="5" max="5" style="1367" width="10.00390625" hidden="1" customWidth="1"/>
    <col min="6" max="6" style="1367" width="8.7109375" hidden="1" customWidth="1"/>
    <col min="7" max="7" style="1367" width="7.57421875" hidden="1" customWidth="1"/>
    <col min="8" max="8" style="1367" width="11.421875" hidden="1" customWidth="1"/>
    <col min="9" max="9" style="1367" width="14.140625" hidden="1" customWidth="1"/>
    <col min="10" max="10" style="1367" width="9.8515625" hidden="1" customWidth="1"/>
    <col min="11" max="11" style="1367" width="14.7109375" hidden="1" customWidth="1"/>
    <col min="12" max="12" style="2608" width="19.140625" hidden="1" customWidth="1"/>
    <col min="13" max="14" style="1777" width="12.28125" hidden="1" customWidth="1"/>
    <col min="15" max="15" style="1777" width="23.421875" hidden="1" customWidth="1"/>
    <col min="16" max="16" style="2398" width="3.00390625" customWidth="1"/>
    <col min="17" max="18" style="345" width="3.00390625" customWidth="1"/>
    <col min="19" max="19" style="2408" width="12.00390625" customWidth="1"/>
    <col min="20" max="20" style="1636" width="35.00390625" customWidth="1"/>
    <col min="21" max="21" style="1636" width="0.140625" customWidth="1"/>
    <col min="22" max="24" style="1636" width="24.7109375" hidden="1" customWidth="1"/>
    <col min="25" max="25" style="1636" width="11.7109375" hidden="1" customWidth="1"/>
    <col min="26" max="26" style="1636" width="3.7109375" hidden="1" customWidth="1"/>
    <col min="27" max="27" style="1636" width="11.7109375" hidden="1" customWidth="1"/>
    <col min="28" max="28" style="1636" width="8.57421875" hidden="1" customWidth="1"/>
    <col min="29" max="29" style="1636" width="24.7109375" customWidth="1"/>
    <col min="30" max="31" style="1636" width="24.00390625" customWidth="1"/>
    <col min="32" max="32" style="1636" width="11.00390625" customWidth="1"/>
    <col min="33" max="33" style="1636" width="3.7109375" customWidth="1"/>
    <col min="34" max="34" style="1636" width="11.00390625" customWidth="1"/>
    <col min="35" max="35" style="1636" width="8.57421875" hidden="1" customWidth="1"/>
    <col min="36" max="36" style="1636" width="4.00390625" customWidth="1"/>
    <col min="37" max="37" style="1636" width="115.00390625" customWidth="1"/>
    <col min="38" max="42" style="1643" width="10.00390625" customWidth="1"/>
    <col min="43" max="43" style="1636" width="10.57421875" hidden="1"/>
  </cols>
  <sheetData>
    <row customHeight="1" ht="22.5" hidden="1">
      <c r="X1" s="328"/>
      <c r="Y1" s="328"/>
      <c r="AE1" s="328"/>
      <c r="AF1" s="328"/>
      <c r="AQ1" s="1156" t="s">
        <v>14</v>
      </c>
    </row>
    <row customHeight="1" ht="23.25" hidden="1">
      <c r="A2" s="1364"/>
      <c r="B2" s="1364"/>
      <c r="C2" s="1364"/>
      <c r="D2" s="1364"/>
      <c r="E2" s="2259">
        <v>1</v>
      </c>
      <c r="F2" s="1364"/>
      <c r="G2" s="1364"/>
      <c r="H2" s="1364"/>
      <c r="I2" s="1364"/>
      <c r="J2" s="1364"/>
      <c r="K2" s="1364"/>
      <c r="L2" s="1365"/>
      <c r="M2" s="1366"/>
      <c r="N2" s="1366"/>
      <c r="O2" s="1366"/>
      <c r="P2" s="362"/>
      <c r="Q2" s="361"/>
      <c r="R2" s="356"/>
      <c r="S2" s="1458">
        <f>INDEX(PT_DIFFERENTIATION_NUM_NTAR,MATCH(A2,PT_DIFFERENTIATION_NTAR_ID,0))</f>
      </c>
      <c r="T2" s="299" t="s">
        <v>131</v>
      </c>
      <c r="U2" s="301"/>
      <c r="V2" s="2243"/>
      <c r="W2" s="2244"/>
      <c r="X2" s="2244"/>
      <c r="Y2" s="2244"/>
      <c r="Z2" s="2244"/>
      <c r="AA2" s="2244"/>
      <c r="AB2" s="2245"/>
      <c r="AC2" s="2243">
        <f>INDEX(PT_DIFFERENTIATION_NTAR,MATCH(A2,PT_DIFFERENTIATION_NTAR_ID,0))</f>
      </c>
      <c r="AD2" s="2244"/>
      <c r="AE2" s="2244"/>
      <c r="AF2" s="2244"/>
      <c r="AG2" s="2244"/>
      <c r="AH2" s="2244"/>
      <c r="AI2" s="2244"/>
      <c r="AJ2" s="2245"/>
      <c r="AK2" s="1259"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M2" s="501"/>
      <c r="AN2" s="501" t="str">
        <f>IF(T2="","",T2)</f>
        <v>Наименование тарифа</v>
      </c>
      <c r="AO2" s="501"/>
      <c r="AP2" s="501"/>
      <c r="AQ2" s="1156">
        <v>0</v>
      </c>
    </row>
    <row customHeight="1" ht="23.25" hidden="1">
      <c r="A3" s="1364"/>
      <c r="B3" s="1364"/>
      <c r="C3" s="1364"/>
      <c r="D3" s="1364"/>
      <c r="E3" s="2260"/>
      <c r="F3" s="2259">
        <v>1</v>
      </c>
      <c r="G3" s="1364"/>
      <c r="H3" s="1364"/>
      <c r="I3" s="1364"/>
      <c r="J3" s="1364"/>
      <c r="K3" s="1364"/>
      <c r="L3" s="1365"/>
      <c r="M3" s="1366"/>
      <c r="N3" s="1366"/>
      <c r="O3" s="1366"/>
      <c r="P3" s="1454"/>
      <c r="Q3" s="353"/>
      <c r="R3" s="354"/>
      <c r="S3" s="1458">
        <f>INDEX(PT_DIFFERENTIATION_NUM_TER,MATCH(B3,PT_DIFFERENTIATION_TER_ID,0))</f>
      </c>
      <c r="T3" s="309" t="s">
        <v>414</v>
      </c>
      <c r="U3" s="301"/>
      <c r="V3" s="2243"/>
      <c r="W3" s="2244"/>
      <c r="X3" s="2244"/>
      <c r="Y3" s="2244"/>
      <c r="Z3" s="2244"/>
      <c r="AA3" s="2244"/>
      <c r="AB3" s="2245"/>
      <c r="AC3" s="2243">
        <f>INDEX(PT_DIFFERENTIATION_TER,MATCH(B3,PT_DIFFERENTIATION_TER_ID,0))</f>
      </c>
      <c r="AD3" s="2244"/>
      <c r="AE3" s="2244"/>
      <c r="AF3" s="2244"/>
      <c r="AG3" s="2244"/>
      <c r="AH3" s="2244"/>
      <c r="AI3" s="2244"/>
      <c r="AJ3" s="2245"/>
      <c r="AK3" s="1259" t="s">
        <v>415</v>
      </c>
      <c r="AM3" s="501"/>
      <c r="AN3" s="501" t="str">
        <f>IF(T3="","",T3)</f>
        <v>Территория действия тарифа</v>
      </c>
      <c r="AO3" s="501"/>
      <c r="AP3" s="501"/>
      <c r="AQ3" s="1156">
        <v>0</v>
      </c>
    </row>
    <row customHeight="1" ht="23.25" hidden="1">
      <c r="A4" s="1364"/>
      <c r="B4" s="1364"/>
      <c r="C4" s="1364"/>
      <c r="D4" s="1364"/>
      <c r="E4" s="2260"/>
      <c r="F4" s="2260"/>
      <c r="G4" s="2259">
        <v>1</v>
      </c>
      <c r="H4" s="1364"/>
      <c r="I4" s="1364"/>
      <c r="J4" s="1364"/>
      <c r="K4" s="1364"/>
      <c r="L4" s="1365"/>
      <c r="M4" s="1366"/>
      <c r="N4" s="1366"/>
      <c r="O4" s="1366"/>
      <c r="P4" s="355"/>
      <c r="Q4" s="353"/>
      <c r="R4" s="354"/>
      <c r="S4" s="1458">
        <f>INDEX(PT_DIFFERENTIATION_NUM_CS,MATCH(C4,PT_DIFFERENTIATION_CS_ID,0))</f>
      </c>
      <c r="T4" s="310" t="s">
        <v>500</v>
      </c>
      <c r="U4" s="301"/>
      <c r="V4" s="2243"/>
      <c r="W4" s="2244"/>
      <c r="X4" s="2244"/>
      <c r="Y4" s="2244"/>
      <c r="Z4" s="2244"/>
      <c r="AA4" s="2244"/>
      <c r="AB4" s="2245"/>
      <c r="AC4" s="2243">
        <f>INDEX(PT_DIFFERENTIATION_CS,MATCH(C4,PT_DIFFERENTIATION_CS_ID,0))</f>
      </c>
      <c r="AD4" s="2244"/>
      <c r="AE4" s="2244"/>
      <c r="AF4" s="2244"/>
      <c r="AG4" s="2244"/>
      <c r="AH4" s="2244"/>
      <c r="AI4" s="2244"/>
      <c r="AJ4" s="2245"/>
      <c r="AK4" s="1259" t="s">
        <v>501</v>
      </c>
      <c r="AM4" s="501"/>
      <c r="AN4" s="501" t="str">
        <f>IF(T4="","",T4)</f>
        <v>Наименование централизованной системы холодного водоснабжения</v>
      </c>
      <c r="AO4" s="501"/>
      <c r="AP4" s="501"/>
      <c r="AQ4" s="1156">
        <v>0</v>
      </c>
    </row>
    <row customHeight="1" ht="23.25" hidden="1">
      <c r="A5" s="1364"/>
      <c r="B5" s="1364"/>
      <c r="C5" s="1364"/>
      <c r="D5" s="1364"/>
      <c r="E5" s="2260"/>
      <c r="F5" s="2260"/>
      <c r="G5" s="2260"/>
      <c r="H5" s="2260"/>
      <c r="I5" s="2257">
        <f>S4&amp;".1"</f>
      </c>
      <c r="J5" s="1364"/>
      <c r="K5" s="1364"/>
      <c r="L5" s="1365"/>
      <c r="P5" s="2258">
        <v>1</v>
      </c>
      <c r="Q5" s="1451"/>
      <c r="R5" s="357"/>
      <c r="S5" s="1458">
        <f>$I5</f>
      </c>
      <c r="T5" s="286" t="s">
        <v>502</v>
      </c>
      <c r="U5" s="301"/>
      <c r="V5" s="2351"/>
      <c r="W5" s="2352"/>
      <c r="X5" s="2352"/>
      <c r="Y5" s="2352"/>
      <c r="Z5" s="2352"/>
      <c r="AA5" s="2352"/>
      <c r="AB5" s="2353"/>
      <c r="AC5" s="2354"/>
      <c r="AD5" s="2355"/>
      <c r="AE5" s="2355"/>
      <c r="AF5" s="2355"/>
      <c r="AG5" s="2355"/>
      <c r="AH5" s="2355"/>
      <c r="AI5" s="2355"/>
      <c r="AJ5" s="2356"/>
      <c r="AK5" s="1259" t="s">
        <v>503</v>
      </c>
      <c r="AM5" s="501"/>
      <c r="AN5" s="501" t="str">
        <f>IF(T5="","",T5)</f>
        <v>Наименование признака дифференциации</v>
      </c>
      <c r="AO5" s="501"/>
      <c r="AP5" s="501"/>
      <c r="AQ5" s="1156">
        <v>0</v>
      </c>
    </row>
    <row customHeight="1" ht="23.25" hidden="1">
      <c r="A6" s="1364"/>
      <c r="B6" s="1364"/>
      <c r="C6" s="1364"/>
      <c r="D6" s="1364"/>
      <c r="E6" s="2260"/>
      <c r="F6" s="2260"/>
      <c r="G6" s="2260"/>
      <c r="H6" s="2260"/>
      <c r="I6" s="2287"/>
      <c r="J6" s="2257">
        <f>I5&amp;".1"</f>
      </c>
      <c r="K6" s="1364"/>
      <c r="L6" s="1365" t="s">
        <v>423</v>
      </c>
      <c r="P6" s="2258"/>
      <c r="Q6" s="2258">
        <v>1</v>
      </c>
      <c r="R6" s="358"/>
      <c r="S6" s="1458">
        <f>$J6</f>
      </c>
      <c r="T6" s="287" t="s">
        <v>424</v>
      </c>
      <c r="U6" s="301"/>
      <c r="V6" s="2246"/>
      <c r="W6" s="2247"/>
      <c r="X6" s="2247"/>
      <c r="Y6" s="2247"/>
      <c r="Z6" s="2247"/>
      <c r="AA6" s="2247"/>
      <c r="AB6" s="2248"/>
      <c r="AC6" s="2246"/>
      <c r="AD6" s="2247"/>
      <c r="AE6" s="2247"/>
      <c r="AF6" s="2247"/>
      <c r="AG6" s="2247"/>
      <c r="AH6" s="2247"/>
      <c r="AI6" s="2247"/>
      <c r="AJ6" s="2248"/>
      <c r="AK6" s="1308" t="s">
        <v>504</v>
      </c>
      <c r="AM6" s="501"/>
      <c r="AN6" s="501" t="str">
        <f>IF(T6="","",T6)</f>
        <v>Группа потребителей</v>
      </c>
      <c r="AO6" s="501"/>
      <c r="AP6" s="501"/>
      <c r="AQ6" s="1156">
        <v>0</v>
      </c>
    </row>
    <row customHeight="1" ht="23.25" hidden="1">
      <c r="A7" s="1364"/>
      <c r="B7" s="1364"/>
      <c r="C7" s="1364"/>
      <c r="D7" s="1364"/>
      <c r="E7" s="2260"/>
      <c r="F7" s="2260"/>
      <c r="G7" s="2260"/>
      <c r="H7" s="2260"/>
      <c r="I7" s="2287"/>
      <c r="J7" s="2287"/>
      <c r="K7" s="2257">
        <f>J6&amp;".1"</f>
      </c>
      <c r="L7" s="1365"/>
      <c r="P7" s="2258"/>
      <c r="Q7" s="2258"/>
      <c r="R7" s="358">
        <v>1</v>
      </c>
      <c r="S7" s="1458">
        <f>$K7</f>
      </c>
      <c r="T7" s="1438"/>
      <c r="U7" s="301"/>
      <c r="V7" s="752"/>
      <c r="W7" s="752"/>
      <c r="X7" s="1258"/>
      <c r="Y7" s="2266"/>
      <c r="Z7" s="2108" t="s">
        <v>61</v>
      </c>
      <c r="AA7" s="2266"/>
      <c r="AB7" s="2108" t="s">
        <v>61</v>
      </c>
      <c r="AC7" s="752"/>
      <c r="AD7" s="752"/>
      <c r="AE7" s="1258"/>
      <c r="AF7" s="2266"/>
      <c r="AG7" s="2108" t="s">
        <v>61</v>
      </c>
      <c r="AH7" s="2288"/>
      <c r="AI7" s="2108" t="s">
        <v>61</v>
      </c>
      <c r="AJ7" s="1439"/>
      <c r="AK7" s="2350"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7" s="512">
        <f>STRCHECKDATE(V8:AJ8)</f>
      </c>
      <c r="AM7" s="501"/>
      <c r="AN7" s="501" t="str">
        <f>IF(T7="","",T7)</f>
        <v/>
      </c>
      <c r="AO7" s="501"/>
      <c r="AP7" s="501"/>
      <c r="AQ7" s="1156">
        <v>0</v>
      </c>
    </row>
    <row customHeight="1" ht="14.25" hidden="1">
      <c r="A8" s="1364"/>
      <c r="B8" s="1364"/>
      <c r="C8" s="1364"/>
      <c r="D8" s="1364"/>
      <c r="E8" s="2260"/>
      <c r="F8" s="2260"/>
      <c r="G8" s="2260"/>
      <c r="H8" s="2260"/>
      <c r="I8" s="2287"/>
      <c r="J8" s="2287"/>
      <c r="K8" s="2257"/>
      <c r="L8" s="1365"/>
      <c r="P8" s="2258"/>
      <c r="Q8" s="2258"/>
      <c r="R8" s="358"/>
      <c r="S8" s="1457"/>
      <c r="T8" s="301"/>
      <c r="U8" s="301"/>
      <c r="V8" s="326"/>
      <c r="W8" s="326"/>
      <c r="X8" s="329" t="str">
        <f>Y7&amp;"-"&amp;AA7</f>
        <v>-</v>
      </c>
      <c r="Y8" s="2267"/>
      <c r="Z8" s="2108"/>
      <c r="AA8" s="2267"/>
      <c r="AB8" s="2108"/>
      <c r="AC8" s="326"/>
      <c r="AD8" s="326"/>
      <c r="AE8" s="329" t="str">
        <f>AF7&amp;"-"&amp;AH7</f>
        <v>-</v>
      </c>
      <c r="AF8" s="2267"/>
      <c r="AG8" s="2108"/>
      <c r="AH8" s="2289"/>
      <c r="AI8" s="2108"/>
      <c r="AJ8" s="1440"/>
      <c r="AK8" s="2350"/>
      <c r="AM8" s="501"/>
      <c r="AN8" s="501" t="str">
        <f>IF(T8="","",T8)</f>
        <v/>
      </c>
      <c r="AO8" s="501"/>
      <c r="AP8" s="501"/>
      <c r="AQ8" s="1156">
        <v>0</v>
      </c>
    </row>
    <row customHeight="1" ht="21" hidden="1">
      <c r="A9" s="1364"/>
      <c r="B9" s="1364"/>
      <c r="C9" s="1364"/>
      <c r="D9" s="1364"/>
      <c r="E9" s="2260"/>
      <c r="F9" s="2260"/>
      <c r="G9" s="2260"/>
      <c r="H9" s="2260"/>
      <c r="I9" s="2287"/>
      <c r="J9" s="2257"/>
      <c r="K9" s="1364"/>
      <c r="L9" s="1365"/>
      <c r="P9" s="2258"/>
      <c r="Q9" s="2258"/>
      <c r="R9" s="357"/>
      <c r="S9" s="1279"/>
      <c r="T9" s="288" t="s">
        <v>505</v>
      </c>
      <c r="U9" s="368"/>
      <c r="V9" s="368"/>
      <c r="W9" s="368"/>
      <c r="X9" s="368"/>
      <c r="Y9" s="368"/>
      <c r="Z9" s="368"/>
      <c r="AA9" s="368"/>
      <c r="AB9" s="368"/>
      <c r="AC9" s="368"/>
      <c r="AD9" s="368"/>
      <c r="AE9" s="368"/>
      <c r="AF9" s="368"/>
      <c r="AG9" s="368"/>
      <c r="AH9" s="368"/>
      <c r="AI9" s="368"/>
      <c r="AJ9" s="368"/>
      <c r="AK9" s="1259" t="s">
        <v>506</v>
      </c>
      <c r="AM9" s="501"/>
      <c r="AN9" s="501" t="str">
        <f>IF(T9="","",T9)</f>
        <v>Добавить значение признака дифференциации</v>
      </c>
      <c r="AO9" s="501"/>
      <c r="AP9" s="501"/>
      <c r="AQ9" s="1156">
        <v>0</v>
      </c>
    </row>
    <row customHeight="1" ht="21" hidden="1">
      <c r="A10" s="1364"/>
      <c r="B10" s="1364"/>
      <c r="C10" s="1364"/>
      <c r="D10" s="1364"/>
      <c r="E10" s="2260"/>
      <c r="F10" s="2260"/>
      <c r="G10" s="2260"/>
      <c r="H10" s="2260"/>
      <c r="I10" s="2257"/>
      <c r="J10" s="1364"/>
      <c r="K10" s="1364"/>
      <c r="L10" s="1365"/>
      <c r="P10" s="2258"/>
      <c r="Q10" s="1451"/>
      <c r="R10" s="357"/>
      <c r="S10" s="1279"/>
      <c r="T10" s="366" t="s">
        <v>429</v>
      </c>
      <c r="U10" s="368"/>
      <c r="V10" s="368"/>
      <c r="W10" s="368"/>
      <c r="X10" s="368"/>
      <c r="Y10" s="368"/>
      <c r="Z10" s="368"/>
      <c r="AA10" s="368"/>
      <c r="AB10" s="367"/>
      <c r="AC10" s="368"/>
      <c r="AD10" s="368"/>
      <c r="AE10" s="368"/>
      <c r="AF10" s="368"/>
      <c r="AG10" s="368"/>
      <c r="AH10" s="368"/>
      <c r="AI10" s="367"/>
      <c r="AJ10" s="368"/>
      <c r="AK10" s="1441"/>
      <c r="AM10" s="501"/>
      <c r="AN10" s="501" t="str">
        <f>IF(T10="","",T10)</f>
        <v>Добавить группу потребителей</v>
      </c>
      <c r="AO10" s="501"/>
      <c r="AP10" s="501"/>
      <c r="AQ10" s="1156">
        <v>0</v>
      </c>
    </row>
    <row customHeight="1" ht="21" hidden="1">
      <c r="A11" s="1364"/>
      <c r="B11" s="1364"/>
      <c r="C11" s="1364"/>
      <c r="D11" s="1364"/>
      <c r="E11" s="2260"/>
      <c r="F11" s="2260"/>
      <c r="G11" s="2260"/>
      <c r="H11" s="2259"/>
      <c r="I11" s="1364"/>
      <c r="J11" s="1364"/>
      <c r="K11" s="1364"/>
      <c r="L11" s="1365"/>
      <c r="M11" s="1366"/>
      <c r="N11" s="1366"/>
      <c r="O11" s="538"/>
      <c r="P11" s="361"/>
      <c r="Q11" s="376"/>
      <c r="R11" s="356"/>
      <c r="S11" s="1279"/>
      <c r="T11" s="373" t="s">
        <v>507</v>
      </c>
      <c r="U11" s="368"/>
      <c r="V11" s="368"/>
      <c r="W11" s="368"/>
      <c r="X11" s="368"/>
      <c r="Y11" s="368"/>
      <c r="Z11" s="368"/>
      <c r="AA11" s="368"/>
      <c r="AB11" s="367"/>
      <c r="AC11" s="368"/>
      <c r="AD11" s="368"/>
      <c r="AE11" s="368"/>
      <c r="AF11" s="368"/>
      <c r="AG11" s="368"/>
      <c r="AH11" s="368"/>
      <c r="AI11" s="367"/>
      <c r="AJ11" s="368"/>
      <c r="AK11" s="304"/>
      <c r="AM11" s="501"/>
      <c r="AN11" s="501" t="str">
        <f>IF(T11="","",T11)</f>
        <v>Добавить наименование признака дифференциации</v>
      </c>
      <c r="AO11" s="501"/>
      <c r="AP11" s="501"/>
      <c r="AQ11" s="1156">
        <v>0</v>
      </c>
    </row>
    <row s="1643" customFormat="1" customHeight="1" ht="14.25" hidden="1">
      <c r="A12" s="1344"/>
      <c r="B12" s="1344"/>
      <c r="C12" s="1315"/>
      <c r="D12" s="1315"/>
      <c r="E12" s="2260"/>
      <c r="F12" s="2259"/>
      <c r="G12" s="1315"/>
      <c r="H12" s="1315"/>
      <c r="I12" s="1315"/>
      <c r="J12" s="1315"/>
      <c r="K12" s="1315"/>
      <c r="L12" s="1459"/>
      <c r="M12" s="1322"/>
      <c r="N12" s="1322"/>
      <c r="P12" s="1317"/>
      <c r="Q12" s="1318"/>
      <c r="R12" s="1317"/>
      <c r="S12" s="1323"/>
      <c r="T12" s="1326" t="s">
        <v>177</v>
      </c>
      <c r="U12" s="1325"/>
      <c r="V12" s="1325"/>
      <c r="W12" s="1325"/>
      <c r="X12" s="1325"/>
      <c r="Y12" s="1325"/>
      <c r="Z12" s="1325"/>
      <c r="AA12" s="1325"/>
      <c r="AB12" s="1325"/>
      <c r="AC12" s="1325"/>
      <c r="AD12" s="1325"/>
      <c r="AE12" s="1325"/>
      <c r="AF12" s="1325"/>
      <c r="AG12" s="1325"/>
      <c r="AH12" s="1325"/>
      <c r="AI12" s="1325"/>
      <c r="AJ12" s="1325"/>
      <c r="AK12" s="1325"/>
      <c r="AM12" s="790"/>
      <c r="AN12" s="790" t="str">
        <f>IF(T12="","",T12)</f>
        <v>Добавить централизованную систему для дифференциации</v>
      </c>
      <c r="AO12" s="790"/>
      <c r="AP12" s="790"/>
      <c r="AQ12" s="519">
        <v>0</v>
      </c>
    </row>
    <row s="1643" customFormat="1" customHeight="1" ht="14.25" hidden="1">
      <c r="A13" s="1344"/>
      <c r="B13" s="1344"/>
      <c r="C13" s="1344"/>
      <c r="D13" s="1344"/>
      <c r="E13" s="2259"/>
      <c r="F13" s="1344"/>
      <c r="G13" s="1344"/>
      <c r="H13" s="1344"/>
      <c r="I13" s="1344"/>
      <c r="J13" s="1344"/>
      <c r="K13" s="1344"/>
      <c r="L13" s="1347"/>
      <c r="M13" s="1322"/>
      <c r="N13" s="1322"/>
      <c r="O13" s="519"/>
      <c r="P13" s="381"/>
      <c r="Q13" s="1345"/>
      <c r="R13" s="381"/>
      <c r="S13" s="1323"/>
      <c r="T13" s="1326" t="s">
        <v>178</v>
      </c>
      <c r="U13" s="1325"/>
      <c r="V13" s="1325"/>
      <c r="W13" s="1325"/>
      <c r="X13" s="1325"/>
      <c r="Y13" s="1325"/>
      <c r="Z13" s="1325"/>
      <c r="AA13" s="1325"/>
      <c r="AB13" s="1325"/>
      <c r="AC13" s="1325"/>
      <c r="AD13" s="1325"/>
      <c r="AE13" s="1325"/>
      <c r="AF13" s="1325"/>
      <c r="AG13" s="1325"/>
      <c r="AH13" s="1325"/>
      <c r="AI13" s="1325"/>
      <c r="AJ13" s="1325"/>
      <c r="AK13" s="1325"/>
      <c r="AM13" s="501"/>
      <c r="AN13" s="501" t="str">
        <f>IF(T13="","",T13)</f>
        <v>Добавить территорию для дифференциации</v>
      </c>
      <c r="AO13" s="501"/>
      <c r="AP13" s="501"/>
      <c r="AQ13" s="512">
        <v>0</v>
      </c>
    </row>
    <row customHeight="1" ht="14.25" hidden="1">
      <c r="AB14" s="328"/>
      <c r="AI14" s="328"/>
      <c r="AQ14" s="1156">
        <v>0</v>
      </c>
    </row>
    <row customHeight="1" ht="14.25" hidden="1">
      <c r="AC15" s="1361"/>
      <c r="AD15" s="1361"/>
      <c r="AE15" s="1362"/>
      <c r="AF15" s="2268"/>
      <c r="AG15" s="2269" t="s">
        <v>61</v>
      </c>
      <c r="AH15" s="2268"/>
      <c r="AI15" s="2269" t="s">
        <v>61</v>
      </c>
      <c r="AQ15" s="1156">
        <v>0</v>
      </c>
    </row>
    <row customHeight="1" ht="14.25" hidden="1">
      <c r="AC16" s="1361"/>
      <c r="AD16" s="1361"/>
      <c r="AE16" s="329" t="str">
        <f>AF15&amp;"-"&amp;AH15</f>
        <v>-</v>
      </c>
      <c r="AF16" s="2269"/>
      <c r="AG16" s="2269"/>
      <c r="AH16" s="2269"/>
      <c r="AI16" s="2269"/>
      <c r="AQ16" s="1156">
        <v>0</v>
      </c>
    </row>
    <row customHeight="1" ht="14.25" hidden="1">
      <c r="AI17" s="328"/>
      <c r="AQ17" s="1156">
        <v>0</v>
      </c>
    </row>
    <row s="1367" customFormat="1" customHeight="1" ht="22.5" hidden="1">
      <c r="L18" s="1448"/>
      <c r="M18" s="1363"/>
      <c r="N18" s="1363"/>
      <c r="O18" s="1368" t="s">
        <v>431</v>
      </c>
      <c r="P18" s="1363"/>
      <c r="Q18" s="1372"/>
      <c r="R18" s="1372"/>
      <c r="S18" s="730"/>
      <c r="Y18" s="1368"/>
      <c r="AA18" s="1368"/>
      <c r="AB18" s="1367"/>
      <c r="AF18" s="1368"/>
      <c r="AH18" s="1368"/>
      <c r="AI18" s="1367"/>
      <c r="AL18" s="512"/>
      <c r="AM18" s="512"/>
      <c r="AN18" s="512"/>
      <c r="AO18" s="512"/>
      <c r="AP18" s="512"/>
      <c r="AQ18" s="1161">
        <v>0</v>
      </c>
    </row>
    <row s="1367" customFormat="1" customHeight="1" ht="14.25" hidden="1">
      <c r="L19" s="1448"/>
      <c r="M19" s="1363"/>
      <c r="N19" s="1363"/>
      <c r="O19" s="1363"/>
      <c r="P19" s="1363"/>
      <c r="Q19" s="1372"/>
      <c r="R19" s="1372"/>
      <c r="S19" s="730"/>
      <c r="AB19" s="1367"/>
      <c r="AI19" s="1367"/>
      <c r="AL19" s="512"/>
      <c r="AM19" s="512"/>
      <c r="AN19" s="512"/>
      <c r="AO19" s="512"/>
      <c r="AP19" s="512"/>
      <c r="AQ19" s="1161">
        <v>0</v>
      </c>
    </row>
    <row s="1367" customFormat="1" customHeight="1" ht="12" hidden="1">
      <c r="L20" s="1448"/>
      <c r="M20" s="1363"/>
      <c r="N20" s="1363"/>
      <c r="O20" s="1365" t="s">
        <v>432</v>
      </c>
      <c r="P20" s="1363"/>
      <c r="Q20" s="1443"/>
      <c r="R20" s="1443"/>
      <c r="S20" s="730"/>
      <c r="T20" s="1161" t="s">
        <v>433</v>
      </c>
      <c r="Z20" s="187" t="s">
        <v>434</v>
      </c>
      <c r="AB20" s="187" t="s">
        <v>435</v>
      </c>
      <c r="AC20" s="1161" t="s">
        <v>433</v>
      </c>
      <c r="AG20" s="187" t="s">
        <v>436</v>
      </c>
      <c r="AI20" s="187" t="s">
        <v>435</v>
      </c>
      <c r="AQ20" s="1161">
        <v>0</v>
      </c>
    </row>
    <row customHeight="1" ht="14.25" hidden="1">
      <c r="O21" s="1365"/>
      <c r="AQ21" s="1156">
        <v>0</v>
      </c>
    </row>
    <row customHeight="1" ht="14.25" hidden="1">
      <c r="O22" s="1365"/>
      <c r="AQ22" s="1156">
        <v>0</v>
      </c>
    </row>
    <row customHeight="1" ht="14.699999999999998">
      <c r="Q23" s="377"/>
      <c r="R23" s="377"/>
      <c r="S23" s="1276"/>
      <c r="T23" s="364"/>
      <c r="U23" s="364"/>
      <c r="V23" s="510"/>
      <c r="W23" s="510"/>
      <c r="X23" s="510"/>
      <c r="Y23" s="510"/>
      <c r="Z23" s="510"/>
      <c r="AA23" s="510"/>
      <c r="AB23" s="510"/>
      <c r="AC23" s="510"/>
      <c r="AD23" s="510"/>
      <c r="AE23" s="510"/>
      <c r="AF23" s="510"/>
      <c r="AG23" s="510"/>
      <c r="AH23" s="510"/>
      <c r="AI23" s="510"/>
      <c r="AQ23" s="1156">
        <v>14</v>
      </c>
    </row>
    <row customHeight="1" ht="14.699999999999998">
      <c r="Q24" s="377"/>
      <c r="R24" s="377"/>
      <c r="S24" s="2249" t="str">
        <f>IF(TEMPLATE_GROUP="P",PT_P_FORM_COLDVSNA_4_NAME_FORM,PT_R_FORM_COLDVSNA_16_NAME_FORM)</f>
        <v>Форма 13. Информация о предложении организации холодного водоснабжения об установлении расчетной величины тарифов в сфере холодного водоснабжения</v>
      </c>
      <c r="T24" s="2249"/>
      <c r="U24" s="2249"/>
      <c r="V24" s="2249"/>
      <c r="W24" s="2249"/>
      <c r="X24" s="2249"/>
      <c r="Y24" s="2249"/>
      <c r="Z24" s="2249"/>
      <c r="AA24" s="2249"/>
      <c r="AB24" s="2249"/>
      <c r="AC24" s="2249"/>
      <c r="AD24" s="2249"/>
      <c r="AE24" s="2249"/>
      <c r="AF24" s="2249"/>
      <c r="AG24" s="2249"/>
      <c r="AH24" s="2249"/>
      <c r="AI24" s="1244"/>
      <c r="AQ24" s="1156">
        <v>14</v>
      </c>
    </row>
    <row customHeight="1" ht="14.699999999999998">
      <c r="Q25" s="377"/>
      <c r="R25" s="377"/>
      <c r="S25" s="2250" t="str">
        <f>IF(org=0,"Не определено",org)</f>
        <v>ПАО "КГК"</v>
      </c>
      <c r="T25" s="2250"/>
      <c r="U25" s="2250"/>
      <c r="V25" s="2250"/>
      <c r="W25" s="2250"/>
      <c r="X25" s="2250"/>
      <c r="Y25" s="2250"/>
      <c r="Z25" s="2250"/>
      <c r="AA25" s="2250"/>
      <c r="AB25" s="2250"/>
      <c r="AC25" s="2250"/>
      <c r="AD25" s="2250"/>
      <c r="AE25" s="2250"/>
      <c r="AF25" s="2250"/>
      <c r="AG25" s="2250"/>
      <c r="AH25" s="2250"/>
      <c r="AI25" s="1244"/>
      <c r="AQ25" s="1156">
        <v>14</v>
      </c>
    </row>
    <row customHeight="1" ht="14.25" hidden="1">
      <c r="Q26" s="377"/>
      <c r="R26" s="377"/>
      <c r="S26" s="1276"/>
      <c r="T26" s="364"/>
      <c r="U26" s="364"/>
      <c r="V26" s="323"/>
      <c r="W26" s="323"/>
      <c r="X26" s="323"/>
      <c r="Y26" s="323"/>
      <c r="Z26" s="323"/>
      <c r="AA26" s="323"/>
      <c r="AB26" s="323"/>
      <c r="AC26" s="323"/>
      <c r="AD26" s="323"/>
      <c r="AE26" s="323"/>
      <c r="AF26" s="323"/>
      <c r="AG26" s="323"/>
      <c r="AH26" s="323"/>
      <c r="AI26" s="323"/>
      <c r="AJ26" s="510"/>
      <c r="AQ26" s="1156">
        <v>0</v>
      </c>
    </row>
    <row s="1854" customFormat="1" customHeight="1" ht="25.5" hidden="1">
      <c r="A27" s="1369"/>
      <c r="B27" s="1369"/>
      <c r="C27" s="1369"/>
      <c r="D27" s="1369"/>
      <c r="E27" s="1369"/>
      <c r="F27" s="1369"/>
      <c r="G27" s="1369"/>
      <c r="H27" s="1369"/>
      <c r="I27" s="1369"/>
      <c r="J27" s="1369"/>
      <c r="K27" s="1369"/>
      <c r="L27" s="1370"/>
      <c r="M27" s="1369"/>
      <c r="N27" s="1369"/>
      <c r="O27" s="1369"/>
      <c r="S27" s="2251" t="s">
        <v>42</v>
      </c>
      <c r="T27" s="2251"/>
      <c r="U27" s="1373"/>
      <c r="V27" s="2252" t="str">
        <f>IF(TITLE_NAME_OR_PR_CHANGE="",IF(TITLE_NAME_OR_PR="","",TITLE_NAME_OR_PR),TITLE_NAME_OR_PR_CHANGE)</f>
        <v/>
      </c>
      <c r="W27" s="2252"/>
      <c r="X27" s="2252"/>
      <c r="Y27" s="2252"/>
      <c r="Z27" s="2252"/>
      <c r="AA27" s="2252"/>
      <c r="AB27" s="327"/>
      <c r="AC27" s="2252" t="str">
        <f>IF(TITLE_NAME_OR_PR_CHANGE="",IF(TITLE_NAME_OR_PR="","",TITLE_NAME_OR_PR),TITLE_NAME_OR_PR_CHANGE)</f>
        <v/>
      </c>
      <c r="AD27" s="2252"/>
      <c r="AE27" s="2252"/>
      <c r="AF27" s="2252"/>
      <c r="AG27" s="2252"/>
      <c r="AH27" s="2252"/>
      <c r="AI27" s="327"/>
      <c r="AJ27" s="327"/>
      <c r="AK27" s="281"/>
      <c r="AL27" s="369"/>
      <c r="AM27" s="369"/>
      <c r="AN27" s="369"/>
      <c r="AO27" s="369"/>
      <c r="AP27" s="369"/>
      <c r="AQ27" s="419">
        <v>0</v>
      </c>
    </row>
    <row s="1854" customFormat="1" customHeight="1" ht="18.75" hidden="1">
      <c r="A28" s="1369"/>
      <c r="B28" s="1369"/>
      <c r="C28" s="1369"/>
      <c r="D28" s="1369"/>
      <c r="E28" s="1369"/>
      <c r="F28" s="1369"/>
      <c r="G28" s="1369"/>
      <c r="H28" s="1369"/>
      <c r="I28" s="1369"/>
      <c r="J28" s="1369"/>
      <c r="K28" s="1369"/>
      <c r="L28" s="1370"/>
      <c r="M28" s="1369"/>
      <c r="N28" s="1369"/>
      <c r="O28" s="1369"/>
      <c r="S28" s="2251" t="s">
        <v>437</v>
      </c>
      <c r="T28" s="2251"/>
      <c r="U28" s="1373"/>
      <c r="V28" s="2265" t="str">
        <f>IF(TITLE_DATE_PR_CHANGE="",IF(TITLE_DATE_PR="","",TITLE_DATE_PR),TITLE_DATE_PR_CHANGE)</f>
        <v>46142</v>
      </c>
      <c r="W28" s="2265"/>
      <c r="X28" s="2265"/>
      <c r="Y28" s="2265"/>
      <c r="Z28" s="2265"/>
      <c r="AA28" s="2265"/>
      <c r="AB28" s="327"/>
      <c r="AC28" s="2265" t="str">
        <f>IF(TITLE_DATE_PR_CHANGE="",IF(TITLE_DATE_PR="","",TITLE_DATE_PR),TITLE_DATE_PR_CHANGE)</f>
        <v>46142</v>
      </c>
      <c r="AD28" s="2265"/>
      <c r="AE28" s="2265"/>
      <c r="AF28" s="2265"/>
      <c r="AG28" s="2265"/>
      <c r="AH28" s="2265"/>
      <c r="AI28" s="327"/>
      <c r="AJ28" s="327"/>
      <c r="AK28" s="281"/>
      <c r="AL28" s="369"/>
      <c r="AM28" s="369"/>
      <c r="AN28" s="369"/>
      <c r="AO28" s="369"/>
      <c r="AP28" s="369"/>
      <c r="AQ28" s="419">
        <v>0</v>
      </c>
    </row>
    <row s="1854" customFormat="1" customHeight="1" ht="18.75" hidden="1">
      <c r="A29" s="1369"/>
      <c r="B29" s="1369"/>
      <c r="C29" s="1369"/>
      <c r="D29" s="1369"/>
      <c r="E29" s="1369"/>
      <c r="F29" s="1369"/>
      <c r="G29" s="1369"/>
      <c r="H29" s="1369"/>
      <c r="I29" s="1369"/>
      <c r="J29" s="1369"/>
      <c r="K29" s="1369"/>
      <c r="L29" s="1370"/>
      <c r="M29" s="1369"/>
      <c r="N29" s="1369"/>
      <c r="O29" s="1369"/>
      <c r="S29" s="2251" t="s">
        <v>438</v>
      </c>
      <c r="T29" s="2251"/>
      <c r="U29" s="1373"/>
      <c r="V29" s="2252" t="str">
        <f>IF(TITLE_NUMBER_PR_CHANGE="",IF(TITLE_NUMBER_PR="","",TITLE_NUMBER_PR),TITLE_NUMBER_PR_CHANGE)</f>
        <v>206Т</v>
      </c>
      <c r="W29" s="2252"/>
      <c r="X29" s="2252"/>
      <c r="Y29" s="2252"/>
      <c r="Z29" s="2252"/>
      <c r="AA29" s="2252"/>
      <c r="AB29" s="327"/>
      <c r="AC29" s="2252" t="str">
        <f>IF(TITLE_NUMBER_PR_CHANGE="",IF(TITLE_NUMBER_PR="","",TITLE_NUMBER_PR),TITLE_NUMBER_PR_CHANGE)</f>
        <v>206Т</v>
      </c>
      <c r="AD29" s="2252"/>
      <c r="AE29" s="2252"/>
      <c r="AF29" s="2252"/>
      <c r="AG29" s="2252"/>
      <c r="AH29" s="2252"/>
      <c r="AI29" s="327"/>
      <c r="AJ29" s="327"/>
      <c r="AK29" s="281"/>
      <c r="AL29" s="369"/>
      <c r="AM29" s="369"/>
      <c r="AN29" s="369"/>
      <c r="AO29" s="369"/>
      <c r="AP29" s="369"/>
      <c r="AQ29" s="419">
        <v>0</v>
      </c>
    </row>
    <row s="1854" customFormat="1" customHeight="1" ht="18.75" hidden="1">
      <c r="A30" s="1369"/>
      <c r="B30" s="1369"/>
      <c r="C30" s="1369"/>
      <c r="D30" s="1369"/>
      <c r="E30" s="1369"/>
      <c r="F30" s="1369"/>
      <c r="G30" s="1369"/>
      <c r="H30" s="1369"/>
      <c r="I30" s="1369"/>
      <c r="J30" s="1369"/>
      <c r="K30" s="1369"/>
      <c r="L30" s="1370"/>
      <c r="M30" s="1369"/>
      <c r="N30" s="1369"/>
      <c r="O30" s="1369"/>
      <c r="S30" s="2251" t="s">
        <v>43</v>
      </c>
      <c r="T30" s="2251"/>
      <c r="U30" s="1373"/>
      <c r="V30" s="2252" t="str">
        <f>IF(TITLE_IST_PUB_CHANGE="",IF(TITLE_IST_PUB="","",TITLE_IST_PUB),TITLE_IST_PUB_CHANGE)</f>
        <v/>
      </c>
      <c r="W30" s="2252"/>
      <c r="X30" s="2252"/>
      <c r="Y30" s="2252"/>
      <c r="Z30" s="2252"/>
      <c r="AA30" s="2252"/>
      <c r="AB30" s="327"/>
      <c r="AC30" s="2252" t="str">
        <f>IF(TITLE_IST_PUB_CHANGE="",IF(TITLE_IST_PUB="","",TITLE_IST_PUB),TITLE_IST_PUB_CHANGE)</f>
        <v/>
      </c>
      <c r="AD30" s="2252"/>
      <c r="AE30" s="2252"/>
      <c r="AF30" s="2252"/>
      <c r="AG30" s="2252"/>
      <c r="AH30" s="2252"/>
      <c r="AI30" s="327"/>
      <c r="AJ30" s="327"/>
      <c r="AK30" s="281"/>
      <c r="AL30" s="369"/>
      <c r="AM30" s="369"/>
      <c r="AN30" s="369"/>
      <c r="AO30" s="369"/>
      <c r="AP30" s="369"/>
      <c r="AQ30" s="419">
        <v>0</v>
      </c>
    </row>
    <row customHeight="1" ht="14.25">
      <c r="Q31" s="377"/>
      <c r="R31" s="377"/>
      <c r="S31" s="1276"/>
      <c r="T31" s="364"/>
      <c r="U31" s="364"/>
      <c r="V31" s="323"/>
      <c r="W31" s="323"/>
      <c r="X31" s="323"/>
      <c r="Y31" s="323"/>
      <c r="Z31" s="323"/>
      <c r="AA31" s="323"/>
      <c r="AB31" s="323"/>
      <c r="AC31" s="323"/>
      <c r="AD31" s="323"/>
      <c r="AE31" s="323"/>
      <c r="AF31" s="323"/>
      <c r="AG31" s="323"/>
      <c r="AH31" s="323"/>
      <c r="AI31" s="323"/>
      <c r="AJ31" s="510"/>
      <c r="AQ31" s="1156">
        <v>0</v>
      </c>
    </row>
    <row s="1854" customFormat="1" customHeight="1" ht="18.75">
      <c r="A32" s="1369"/>
      <c r="B32" s="1369"/>
      <c r="C32" s="1369"/>
      <c r="D32" s="1369"/>
      <c r="E32" s="1369"/>
      <c r="F32" s="1369"/>
      <c r="G32" s="1369"/>
      <c r="H32" s="1369"/>
      <c r="I32" s="1369"/>
      <c r="J32" s="1369"/>
      <c r="K32" s="1369"/>
      <c r="L32" s="1370"/>
      <c r="M32" s="1369"/>
      <c r="N32" s="1369"/>
      <c r="O32" s="1369"/>
      <c r="S32" s="2251" t="s">
        <v>439</v>
      </c>
      <c r="T32" s="2251"/>
      <c r="U32" s="1373"/>
      <c r="V32" s="2265" t="str">
        <f>IF(TITLE_DATE_PR_CHANGE="",IF(TITLE_DATE_PR="","",TITLE_DATE_PR),TITLE_DATE_PR_CHANGE)</f>
        <v>46142</v>
      </c>
      <c r="W32" s="2265"/>
      <c r="X32" s="2265"/>
      <c r="Y32" s="2265"/>
      <c r="Z32" s="2265"/>
      <c r="AA32" s="2265"/>
      <c r="AB32" s="327"/>
      <c r="AC32" s="2265" t="str">
        <f>IF(TITLE_DATE_PR_CHANGE="",IF(TITLE_DATE_PR="","",TITLE_DATE_PR),TITLE_DATE_PR_CHANGE)</f>
        <v>46142</v>
      </c>
      <c r="AD32" s="2265"/>
      <c r="AE32" s="2265"/>
      <c r="AF32" s="2265"/>
      <c r="AG32" s="2265"/>
      <c r="AH32" s="2265"/>
      <c r="AI32" s="327"/>
      <c r="AJ32" s="327"/>
      <c r="AK32" s="281"/>
      <c r="AL32" s="369"/>
      <c r="AM32" s="369"/>
      <c r="AN32" s="369"/>
      <c r="AO32" s="369"/>
      <c r="AP32" s="369"/>
      <c r="AQ32" s="419">
        <v>0</v>
      </c>
    </row>
    <row s="1854" customFormat="1" customHeight="1" ht="18.75">
      <c r="A33" s="1369"/>
      <c r="B33" s="1369"/>
      <c r="C33" s="1369"/>
      <c r="D33" s="1369"/>
      <c r="E33" s="1369"/>
      <c r="F33" s="1369"/>
      <c r="G33" s="1369"/>
      <c r="H33" s="1369"/>
      <c r="I33" s="1369"/>
      <c r="J33" s="1369"/>
      <c r="K33" s="1369"/>
      <c r="L33" s="1370"/>
      <c r="M33" s="1369"/>
      <c r="N33" s="1369"/>
      <c r="O33" s="1369"/>
      <c r="S33" s="2251" t="s">
        <v>440</v>
      </c>
      <c r="T33" s="2251"/>
      <c r="U33" s="1373"/>
      <c r="V33" s="2252" t="str">
        <f>IF(TITLE_NUMBER_PR_CHANGE="",IF(TITLE_NUMBER_PR="","",TITLE_NUMBER_PR),TITLE_NUMBER_PR_CHANGE)</f>
        <v>206Т</v>
      </c>
      <c r="W33" s="2252"/>
      <c r="X33" s="2252"/>
      <c r="Y33" s="2252"/>
      <c r="Z33" s="2252"/>
      <c r="AA33" s="2252"/>
      <c r="AB33" s="327"/>
      <c r="AC33" s="2252" t="str">
        <f>IF(TITLE_NUMBER_PR_CHANGE="",IF(TITLE_NUMBER_PR="","",TITLE_NUMBER_PR),TITLE_NUMBER_PR_CHANGE)</f>
        <v>206Т</v>
      </c>
      <c r="AD33" s="2252"/>
      <c r="AE33" s="2252"/>
      <c r="AF33" s="2252"/>
      <c r="AG33" s="2252"/>
      <c r="AH33" s="2252"/>
      <c r="AI33" s="327"/>
      <c r="AJ33" s="327"/>
      <c r="AK33" s="281"/>
      <c r="AL33" s="369"/>
      <c r="AM33" s="369"/>
      <c r="AN33" s="369"/>
      <c r="AO33" s="369"/>
      <c r="AP33" s="369"/>
      <c r="AQ33" s="419">
        <v>0</v>
      </c>
    </row>
    <row s="1854" customFormat="1" customHeight="1" ht="1.05">
      <c r="A34" s="1369"/>
      <c r="B34" s="1369"/>
      <c r="C34" s="1369"/>
      <c r="D34" s="1369"/>
      <c r="E34" s="1369"/>
      <c r="F34" s="1369"/>
      <c r="G34" s="1369"/>
      <c r="H34" s="1369"/>
      <c r="I34" s="1369"/>
      <c r="J34" s="1369"/>
      <c r="K34" s="1369"/>
      <c r="L34" s="1370"/>
      <c r="M34" s="1369"/>
      <c r="N34" s="1369"/>
      <c r="O34" s="1369"/>
      <c r="S34" s="324"/>
      <c r="T34" s="324"/>
      <c r="U34" s="1455"/>
      <c r="V34" s="327"/>
      <c r="W34" s="327"/>
      <c r="X34" s="327"/>
      <c r="Y34" s="327"/>
      <c r="Z34" s="327"/>
      <c r="AA34" s="327"/>
      <c r="AB34" s="279" t="s">
        <v>441</v>
      </c>
      <c r="AC34" s="327"/>
      <c r="AD34" s="327"/>
      <c r="AE34" s="327"/>
      <c r="AF34" s="327"/>
      <c r="AG34" s="327"/>
      <c r="AH34" s="327"/>
      <c r="AI34" s="279" t="s">
        <v>441</v>
      </c>
      <c r="AL34" s="369"/>
      <c r="AM34" s="369"/>
      <c r="AN34" s="369"/>
      <c r="AO34" s="369"/>
      <c r="AP34" s="369"/>
      <c r="AQ34" s="419">
        <v>1</v>
      </c>
    </row>
    <row customHeight="1" ht="14.699999999999998">
      <c r="Q35" s="377"/>
      <c r="R35" s="377"/>
      <c r="S35" s="1276"/>
      <c r="T35" s="364"/>
      <c r="U35" s="1245"/>
      <c r="V35" s="2253"/>
      <c r="W35" s="2253"/>
      <c r="X35" s="2253"/>
      <c r="Y35" s="2253"/>
      <c r="Z35" s="2253"/>
      <c r="AA35" s="2253"/>
      <c r="AB35" s="2253"/>
      <c r="AC35" s="2253"/>
      <c r="AD35" s="2253"/>
      <c r="AE35" s="2253"/>
      <c r="AF35" s="2253"/>
      <c r="AG35" s="2253"/>
      <c r="AH35" s="2253"/>
      <c r="AI35" s="2253"/>
      <c r="AQ35" s="1156">
        <v>14</v>
      </c>
    </row>
    <row customHeight="1" ht="14.699999999999998">
      <c r="Q36" s="377"/>
      <c r="R36" s="377"/>
      <c r="S36" s="2128" t="s">
        <v>317</v>
      </c>
      <c r="T36" s="2128"/>
      <c r="U36" s="2128"/>
      <c r="V36" s="2128"/>
      <c r="W36" s="2128"/>
      <c r="X36" s="2128"/>
      <c r="Y36" s="2128"/>
      <c r="Z36" s="2128"/>
      <c r="AA36" s="2128"/>
      <c r="AB36" s="2128"/>
      <c r="AC36" s="2128"/>
      <c r="AD36" s="2128"/>
      <c r="AE36" s="2128"/>
      <c r="AF36" s="2128"/>
      <c r="AG36" s="2128"/>
      <c r="AH36" s="2128"/>
      <c r="AI36" s="2128"/>
      <c r="AJ36" s="2128"/>
      <c r="AK36" s="2128" t="s">
        <v>318</v>
      </c>
      <c r="AQ36" s="1156">
        <v>14</v>
      </c>
    </row>
    <row customHeight="1" ht="14.699999999999998">
      <c r="Q37" s="377"/>
      <c r="R37" s="377"/>
      <c r="S37" s="2274" t="s">
        <v>89</v>
      </c>
      <c r="T37" s="2210" t="s">
        <v>442</v>
      </c>
      <c r="U37" s="302"/>
      <c r="V37" s="2275" t="s">
        <v>443</v>
      </c>
      <c r="W37" s="2276"/>
      <c r="X37" s="2276"/>
      <c r="Y37" s="2276"/>
      <c r="Z37" s="2276"/>
      <c r="AA37" s="2277"/>
      <c r="AB37" s="2278" t="s">
        <v>444</v>
      </c>
      <c r="AC37" s="2275" t="s">
        <v>443</v>
      </c>
      <c r="AD37" s="2276"/>
      <c r="AE37" s="2276"/>
      <c r="AF37" s="2276"/>
      <c r="AG37" s="2276"/>
      <c r="AH37" s="2277"/>
      <c r="AI37" s="2278" t="s">
        <v>445</v>
      </c>
      <c r="AJ37" s="2281" t="s">
        <v>446</v>
      </c>
      <c r="AK37" s="2128"/>
      <c r="AQ37" s="1156">
        <v>14</v>
      </c>
    </row>
    <row customHeight="1" ht="35.699999999999996">
      <c r="Q38" s="377"/>
      <c r="R38" s="377"/>
      <c r="S38" s="2274"/>
      <c r="T38" s="2210"/>
      <c r="U38" s="1032"/>
      <c r="V38" s="1453" t="s">
        <v>508</v>
      </c>
      <c r="W38" s="2263" t="s">
        <v>449</v>
      </c>
      <c r="X38" s="2264"/>
      <c r="Y38" s="2263" t="s">
        <v>450</v>
      </c>
      <c r="Z38" s="2270"/>
      <c r="AA38" s="2264"/>
      <c r="AB38" s="2279"/>
      <c r="AC38" s="1453" t="s">
        <v>508</v>
      </c>
      <c r="AD38" s="2263" t="s">
        <v>449</v>
      </c>
      <c r="AE38" s="2264"/>
      <c r="AF38" s="2263" t="s">
        <v>450</v>
      </c>
      <c r="AG38" s="2270"/>
      <c r="AH38" s="2264"/>
      <c r="AI38" s="2279"/>
      <c r="AJ38" s="2282"/>
      <c r="AK38" s="2128"/>
      <c r="AQ38" s="1156">
        <v>34</v>
      </c>
    </row>
    <row customHeight="1" ht="35.699999999999996">
      <c r="A39" s="1371"/>
      <c r="B39" s="1371" t="s">
        <v>143</v>
      </c>
      <c r="C39" s="1371" t="s">
        <v>144</v>
      </c>
      <c r="D39" s="1371" t="s">
        <v>145</v>
      </c>
      <c r="E39" s="1365" t="s">
        <v>451</v>
      </c>
      <c r="F39" s="1365" t="s">
        <v>452</v>
      </c>
      <c r="G39" s="1365" t="s">
        <v>453</v>
      </c>
      <c r="H39" s="1365"/>
      <c r="I39" s="1365" t="s">
        <v>509</v>
      </c>
      <c r="J39" s="1365" t="s">
        <v>456</v>
      </c>
      <c r="K39" s="1365" t="s">
        <v>510</v>
      </c>
      <c r="L39" s="1365" t="s">
        <v>432</v>
      </c>
      <c r="Q39" s="377"/>
      <c r="R39" s="377"/>
      <c r="S39" s="2274"/>
      <c r="T39" s="2210"/>
      <c r="U39" s="303"/>
      <c r="V39" s="1453" t="s">
        <v>511</v>
      </c>
      <c r="W39" s="1223" t="s">
        <v>512</v>
      </c>
      <c r="X39" s="1223" t="s">
        <v>513</v>
      </c>
      <c r="Y39" s="1456" t="s">
        <v>460</v>
      </c>
      <c r="Z39" s="2271" t="s">
        <v>461</v>
      </c>
      <c r="AA39" s="2272"/>
      <c r="AB39" s="2280"/>
      <c r="AC39" s="1453" t="s">
        <v>511</v>
      </c>
      <c r="AD39" s="1223" t="s">
        <v>512</v>
      </c>
      <c r="AE39" s="1223" t="s">
        <v>513</v>
      </c>
      <c r="AF39" s="1456" t="s">
        <v>460</v>
      </c>
      <c r="AG39" s="2271" t="s">
        <v>461</v>
      </c>
      <c r="AH39" s="2272"/>
      <c r="AI39" s="2280"/>
      <c r="AJ39" s="2283"/>
      <c r="AK39" s="2128"/>
      <c r="AQ39" s="1156">
        <v>34</v>
      </c>
    </row>
    <row s="1642" customFormat="1" customHeight="1" ht="0">
      <c r="A40" s="1371"/>
      <c r="B40" s="1371"/>
      <c r="C40" s="1371"/>
      <c r="D40" s="1371"/>
      <c r="E40" s="1371"/>
      <c r="F40" s="1371"/>
      <c r="G40" s="1371"/>
      <c r="H40" s="1371"/>
      <c r="I40" s="1371"/>
      <c r="J40" s="1371"/>
      <c r="K40" s="1371"/>
      <c r="L40" s="1365"/>
      <c r="M40" s="1363"/>
      <c r="N40" s="1363"/>
      <c r="O40" s="1363"/>
      <c r="P40" s="1247"/>
      <c r="Q40" s="1248"/>
      <c r="R40" s="1255">
        <v>1</v>
      </c>
      <c r="S40" s="1278" t="s">
        <v>118</v>
      </c>
      <c r="T40" s="1256" t="s">
        <v>103</v>
      </c>
      <c r="U40" s="1246" t="str">
        <f>OFFSET(U40,0,-1)</f>
        <v>2</v>
      </c>
      <c r="V40" s="1452">
        <f>OFFSET(V40,0,-1)+1</f>
        <v>3</v>
      </c>
      <c r="W40" s="1452">
        <f>OFFSET(W40,0,-1)+1</f>
        <v>4</v>
      </c>
      <c r="X40" s="1452">
        <f>OFFSET(X40,0,-1)+1</f>
        <v>5</v>
      </c>
      <c r="Y40" s="1452">
        <f>OFFSET(Y40,0,-1)+1</f>
        <v>6</v>
      </c>
      <c r="Z40" s="2273">
        <f>OFFSET(Z40,0,-1)+1</f>
        <v>7</v>
      </c>
      <c r="AA40" s="2273"/>
      <c r="AB40" s="1452">
        <f>OFFSET(AB40,0,-2)+1</f>
        <v>8</v>
      </c>
      <c r="AC40" s="1452">
        <f>OFFSET(AC40,0,-1)+1</f>
        <v>9</v>
      </c>
      <c r="AD40" s="1452">
        <f>OFFSET(AD40,0,-1)+1</f>
        <v>10</v>
      </c>
      <c r="AE40" s="1452">
        <f>OFFSET(AE40,0,-1)+1</f>
        <v>11</v>
      </c>
      <c r="AF40" s="1452">
        <f>OFFSET(AF40,0,-1)+1</f>
        <v>12</v>
      </c>
      <c r="AG40" s="2273">
        <f>OFFSET(AG40,0,-1)+1</f>
        <v>13</v>
      </c>
      <c r="AH40" s="2273"/>
      <c r="AI40" s="1452">
        <f>OFFSET(AI40,0,-2)+1</f>
        <v>14</v>
      </c>
      <c r="AJ40" s="1246">
        <f>OFFSET(AJ40,0,-1)</f>
        <v>14</v>
      </c>
      <c r="AK40" s="1452">
        <f>OFFSET(AK40,0,-1)+1</f>
        <v>15</v>
      </c>
      <c r="AL40" s="512"/>
      <c r="AM40" s="512"/>
      <c r="AN40" s="512"/>
      <c r="AO40" s="512"/>
      <c r="AP40" s="512"/>
      <c r="AQ40" s="497">
        <v>0</v>
      </c>
    </row>
    <row customHeight="1" ht="24">
      <c r="A41" s="1364" t="s">
        <v>248</v>
      </c>
      <c r="B41" s="1364"/>
      <c r="C41" s="1364"/>
      <c r="D41" s="1364"/>
      <c r="E41" s="2259">
        <v>1</v>
      </c>
      <c r="F41" s="1364"/>
      <c r="G41" s="1364"/>
      <c r="H41" s="1364"/>
      <c r="I41" s="1364"/>
      <c r="J41" s="1364"/>
      <c r="K41" s="1364"/>
      <c r="L41" s="1365"/>
      <c r="M41" s="1366"/>
      <c r="N41" s="1366"/>
      <c r="O41" s="1366"/>
      <c r="P41" s="362"/>
      <c r="Q41" s="361"/>
      <c r="R41" s="356"/>
      <c r="S41" s="1458">
        <f>INDEX(PT_DIFFERENTIATION_NUM_NTAR,MATCH(A41,PT_DIFFERENTIATION_NTAR_ID,0))</f>
        <v>0</v>
      </c>
      <c r="T41" s="299" t="s">
        <v>131</v>
      </c>
      <c r="U41" s="301"/>
      <c r="V41" s="2243"/>
      <c r="W41" s="2244"/>
      <c r="X41" s="2244"/>
      <c r="Y41" s="2244"/>
      <c r="Z41" s="2244"/>
      <c r="AA41" s="2244"/>
      <c r="AB41" s="2245"/>
      <c r="AC41" s="2243" t="str">
        <f>INDEX(PT_DIFFERENTIATION_NTAR,MATCH(A41,PT_DIFFERENTIATION_NTAR_ID,0))</f>
        <v/>
      </c>
      <c r="AD41" s="2244"/>
      <c r="AE41" s="2244"/>
      <c r="AF41" s="2244"/>
      <c r="AG41" s="2244"/>
      <c r="AH41" s="2244"/>
      <c r="AI41" s="2244"/>
      <c r="AJ41" s="2245"/>
      <c r="AK41" s="1259"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M41" s="501"/>
      <c r="AN41" s="501" t="str">
        <f>IF(T41="","",T41)</f>
        <v>Наименование тарифа</v>
      </c>
      <c r="AO41" s="501"/>
      <c r="AP41" s="501"/>
      <c r="AQ41" s="1156">
        <v>23</v>
      </c>
    </row>
    <row customHeight="1" ht="24">
      <c r="A42" s="1364" t="s">
        <v>248</v>
      </c>
      <c r="B42" s="1364" t="s">
        <v>249</v>
      </c>
      <c r="C42" s="1364"/>
      <c r="D42" s="1364"/>
      <c r="E42" s="2260"/>
      <c r="F42" s="2259">
        <v>1</v>
      </c>
      <c r="G42" s="1364"/>
      <c r="H42" s="1364"/>
      <c r="I42" s="1364"/>
      <c r="J42" s="1364"/>
      <c r="K42" s="1364"/>
      <c r="L42" s="1365"/>
      <c r="M42" s="1366"/>
      <c r="N42" s="1366"/>
      <c r="O42" s="1366"/>
      <c r="P42" s="1454"/>
      <c r="Q42" s="353"/>
      <c r="R42" s="354"/>
      <c r="S42" s="1458" t="str">
        <f>INDEX(PT_DIFFERENTIATION_NUM_TER,MATCH(B42,PT_DIFFERENTIATION_TER_ID,0))</f>
        <v>.</v>
      </c>
      <c r="T42" s="309" t="s">
        <v>414</v>
      </c>
      <c r="U42" s="301"/>
      <c r="V42" s="2243"/>
      <c r="W42" s="2244"/>
      <c r="X42" s="2244"/>
      <c r="Y42" s="2244"/>
      <c r="Z42" s="2244"/>
      <c r="AA42" s="2244"/>
      <c r="AB42" s="2245"/>
      <c r="AC42" s="2243" t="str">
        <f>INDEX(PT_DIFFERENTIATION_TER,MATCH(B42,PT_DIFFERENTIATION_TER_ID,0))</f>
        <v/>
      </c>
      <c r="AD42" s="2244"/>
      <c r="AE42" s="2244"/>
      <c r="AF42" s="2244"/>
      <c r="AG42" s="2244"/>
      <c r="AH42" s="2244"/>
      <c r="AI42" s="2244"/>
      <c r="AJ42" s="2245"/>
      <c r="AK42" s="1259" t="s">
        <v>415</v>
      </c>
      <c r="AM42" s="501"/>
      <c r="AN42" s="501" t="str">
        <f>IF(T42="","",T42)</f>
        <v>Территория действия тарифа</v>
      </c>
      <c r="AO42" s="501"/>
      <c r="AP42" s="501"/>
      <c r="AQ42" s="1156">
        <v>23</v>
      </c>
    </row>
    <row customHeight="1" ht="24">
      <c r="A43" s="1364" t="s">
        <v>248</v>
      </c>
      <c r="B43" s="1364" t="s">
        <v>249</v>
      </c>
      <c r="C43" s="1364" t="s">
        <v>250</v>
      </c>
      <c r="D43" s="1364"/>
      <c r="E43" s="2260"/>
      <c r="F43" s="2260"/>
      <c r="G43" s="2259">
        <v>1</v>
      </c>
      <c r="H43" s="1364"/>
      <c r="I43" s="1364"/>
      <c r="J43" s="1364"/>
      <c r="K43" s="1364"/>
      <c r="L43" s="1365"/>
      <c r="M43" s="1366"/>
      <c r="N43" s="1366"/>
      <c r="O43" s="1366"/>
      <c r="P43" s="355"/>
      <c r="Q43" s="353"/>
      <c r="R43" s="354"/>
      <c r="S43" s="1458" t="str">
        <f>INDEX(PT_DIFFERENTIATION_NUM_CS,MATCH(C43,PT_DIFFERENTIATION_CS_ID,0))</f>
        <v>..</v>
      </c>
      <c r="T43" s="310" t="s">
        <v>500</v>
      </c>
      <c r="U43" s="301"/>
      <c r="V43" s="2243"/>
      <c r="W43" s="2244"/>
      <c r="X43" s="2244"/>
      <c r="Y43" s="2244"/>
      <c r="Z43" s="2244"/>
      <c r="AA43" s="2244"/>
      <c r="AB43" s="2245"/>
      <c r="AC43" s="2243" t="str">
        <f>INDEX(PT_DIFFERENTIATION_CS,MATCH(C43,PT_DIFFERENTIATION_CS_ID,0))</f>
        <v/>
      </c>
      <c r="AD43" s="2244"/>
      <c r="AE43" s="2244"/>
      <c r="AF43" s="2244"/>
      <c r="AG43" s="2244"/>
      <c r="AH43" s="2244"/>
      <c r="AI43" s="2244"/>
      <c r="AJ43" s="2245"/>
      <c r="AK43" s="1259" t="s">
        <v>501</v>
      </c>
      <c r="AM43" s="501"/>
      <c r="AN43" s="501" t="str">
        <f>IF(T43="","",T43)</f>
        <v>Наименование централизованной системы холодного водоснабжения</v>
      </c>
      <c r="AO43" s="501"/>
      <c r="AP43" s="501"/>
      <c r="AQ43" s="1156">
        <v>23</v>
      </c>
    </row>
    <row customHeight="1" ht="24">
      <c r="A44" s="1364" t="s">
        <v>248</v>
      </c>
      <c r="B44" s="1364" t="s">
        <v>249</v>
      </c>
      <c r="C44" s="1364" t="s">
        <v>250</v>
      </c>
      <c r="D44" s="1364" t="s">
        <v>515</v>
      </c>
      <c r="E44" s="2260"/>
      <c r="F44" s="2260"/>
      <c r="G44" s="2260"/>
      <c r="H44" s="2260"/>
      <c r="I44" s="2257" t="str">
        <f>S43&amp;".1"</f>
        <v>...1</v>
      </c>
      <c r="J44" s="1364"/>
      <c r="K44" s="1364"/>
      <c r="L44" s="1365"/>
      <c r="P44" s="2258">
        <v>1</v>
      </c>
      <c r="Q44" s="1451"/>
      <c r="R44" s="357"/>
      <c r="S44" s="1458" t="str">
        <f>$I44</f>
        <v>...1</v>
      </c>
      <c r="T44" s="286" t="s">
        <v>502</v>
      </c>
      <c r="U44" s="301"/>
      <c r="V44" s="2351"/>
      <c r="W44" s="2352"/>
      <c r="X44" s="2352"/>
      <c r="Y44" s="2352"/>
      <c r="Z44" s="2352"/>
      <c r="AA44" s="2352"/>
      <c r="AB44" s="2353"/>
      <c r="AC44" s="2354"/>
      <c r="AD44" s="2355"/>
      <c r="AE44" s="2355"/>
      <c r="AF44" s="2355"/>
      <c r="AG44" s="2355"/>
      <c r="AH44" s="2355"/>
      <c r="AI44" s="2355"/>
      <c r="AJ44" s="2356"/>
      <c r="AK44" s="1259" t="s">
        <v>503</v>
      </c>
      <c r="AM44" s="501"/>
      <c r="AN44" s="501" t="str">
        <f>IF(T44="","",T44)</f>
        <v>Наименование признака дифференциации</v>
      </c>
      <c r="AO44" s="501"/>
      <c r="AP44" s="501"/>
      <c r="AQ44" s="1156">
        <v>23</v>
      </c>
    </row>
    <row customHeight="1" ht="24">
      <c r="A45" s="1364" t="s">
        <v>248</v>
      </c>
      <c r="B45" s="1364" t="s">
        <v>249</v>
      </c>
      <c r="C45" s="1364" t="s">
        <v>250</v>
      </c>
      <c r="D45" s="1364" t="s">
        <v>515</v>
      </c>
      <c r="E45" s="2260"/>
      <c r="F45" s="2260"/>
      <c r="G45" s="2260"/>
      <c r="H45" s="2260"/>
      <c r="I45" s="2287"/>
      <c r="J45" s="2257" t="str">
        <f>I44&amp;".1"</f>
        <v>...1.1</v>
      </c>
      <c r="K45" s="1364"/>
      <c r="L45" s="1365" t="s">
        <v>423</v>
      </c>
      <c r="P45" s="2258"/>
      <c r="Q45" s="2258">
        <v>1</v>
      </c>
      <c r="R45" s="358"/>
      <c r="S45" s="1458" t="str">
        <f>$J45</f>
        <v>...1.1</v>
      </c>
      <c r="T45" s="287" t="s">
        <v>424</v>
      </c>
      <c r="U45" s="301"/>
      <c r="V45" s="2246"/>
      <c r="W45" s="2247"/>
      <c r="X45" s="2247"/>
      <c r="Y45" s="2247"/>
      <c r="Z45" s="2247"/>
      <c r="AA45" s="2247"/>
      <c r="AB45" s="2248"/>
      <c r="AC45" s="2246"/>
      <c r="AD45" s="2247"/>
      <c r="AE45" s="2247"/>
      <c r="AF45" s="2247"/>
      <c r="AG45" s="2247"/>
      <c r="AH45" s="2247"/>
      <c r="AI45" s="2247"/>
      <c r="AJ45" s="2248"/>
      <c r="AK45" s="1308" t="s">
        <v>504</v>
      </c>
      <c r="AM45" s="501"/>
      <c r="AN45" s="501" t="str">
        <f>IF(T45="","",T45)</f>
        <v>Группа потребителей</v>
      </c>
      <c r="AO45" s="501"/>
      <c r="AP45" s="501"/>
      <c r="AQ45" s="1156">
        <v>23</v>
      </c>
    </row>
    <row customHeight="1" ht="24">
      <c r="A46" s="1364" t="s">
        <v>248</v>
      </c>
      <c r="B46" s="1364" t="s">
        <v>249</v>
      </c>
      <c r="C46" s="1364" t="s">
        <v>250</v>
      </c>
      <c r="D46" s="1364" t="s">
        <v>515</v>
      </c>
      <c r="E46" s="2260"/>
      <c r="F46" s="2260"/>
      <c r="G46" s="2260"/>
      <c r="H46" s="2260"/>
      <c r="I46" s="2287"/>
      <c r="J46" s="2287"/>
      <c r="K46" s="2257" t="str">
        <f>J45&amp;".1"</f>
        <v>...1.1.1</v>
      </c>
      <c r="L46" s="1365"/>
      <c r="P46" s="2258"/>
      <c r="Q46" s="2258"/>
      <c r="R46" s="358">
        <v>1</v>
      </c>
      <c r="S46" s="1458" t="str">
        <f>$K46</f>
        <v>...1.1.1</v>
      </c>
      <c r="T46" s="1438"/>
      <c r="U46" s="301"/>
      <c r="V46" s="752"/>
      <c r="W46" s="752"/>
      <c r="X46" s="1258"/>
      <c r="Y46" s="2266"/>
      <c r="Z46" s="2108" t="s">
        <v>61</v>
      </c>
      <c r="AA46" s="2266"/>
      <c r="AB46" s="2108" t="s">
        <v>61</v>
      </c>
      <c r="AC46" s="752"/>
      <c r="AD46" s="752"/>
      <c r="AE46" s="1258"/>
      <c r="AF46" s="2266"/>
      <c r="AG46" s="2108" t="s">
        <v>61</v>
      </c>
      <c r="AH46" s="2288"/>
      <c r="AI46" s="2108" t="s">
        <v>61</v>
      </c>
      <c r="AJ46" s="1439"/>
      <c r="AK46" s="2350"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46" s="512">
        <f>STRCHECKDATE(V47:AJ47)</f>
      </c>
      <c r="AM46" s="501"/>
      <c r="AN46" s="501" t="str">
        <f>IF(T46="","",T46)</f>
        <v/>
      </c>
      <c r="AO46" s="501"/>
      <c r="AP46" s="501"/>
      <c r="AQ46" s="1156">
        <v>23</v>
      </c>
    </row>
    <row customHeight="1" ht="0">
      <c r="A47" s="1364" t="s">
        <v>248</v>
      </c>
      <c r="B47" s="1364" t="s">
        <v>249</v>
      </c>
      <c r="C47" s="1364" t="s">
        <v>250</v>
      </c>
      <c r="D47" s="1364" t="s">
        <v>515</v>
      </c>
      <c r="E47" s="2260"/>
      <c r="F47" s="2260"/>
      <c r="G47" s="2260"/>
      <c r="H47" s="2260"/>
      <c r="I47" s="2287"/>
      <c r="J47" s="2287"/>
      <c r="K47" s="2257"/>
      <c r="L47" s="1365"/>
      <c r="P47" s="2258"/>
      <c r="Q47" s="2258"/>
      <c r="R47" s="358"/>
      <c r="S47" s="1457"/>
      <c r="T47" s="301"/>
      <c r="U47" s="301"/>
      <c r="V47" s="326"/>
      <c r="W47" s="326"/>
      <c r="X47" s="329" t="str">
        <f>Y46&amp;"-"&amp;AA46</f>
        <v>-</v>
      </c>
      <c r="Y47" s="2267"/>
      <c r="Z47" s="2108"/>
      <c r="AA47" s="2267"/>
      <c r="AB47" s="2108"/>
      <c r="AC47" s="326"/>
      <c r="AD47" s="326"/>
      <c r="AE47" s="329" t="str">
        <f>AF46&amp;"-"&amp;AH46</f>
        <v>-</v>
      </c>
      <c r="AF47" s="2267"/>
      <c r="AG47" s="2108"/>
      <c r="AH47" s="2289"/>
      <c r="AI47" s="2108"/>
      <c r="AJ47" s="1440"/>
      <c r="AK47" s="2350"/>
      <c r="AM47" s="501"/>
      <c r="AN47" s="501" t="str">
        <f>IF(T47="","",T47)</f>
        <v/>
      </c>
      <c r="AO47" s="501"/>
      <c r="AP47" s="501"/>
      <c r="AQ47" s="1156">
        <v>0</v>
      </c>
    </row>
    <row customHeight="1" ht="21">
      <c r="A48" s="1364" t="s">
        <v>248</v>
      </c>
      <c r="B48" s="1364" t="s">
        <v>249</v>
      </c>
      <c r="C48" s="1364" t="s">
        <v>250</v>
      </c>
      <c r="D48" s="1364" t="s">
        <v>515</v>
      </c>
      <c r="E48" s="2260"/>
      <c r="F48" s="2260"/>
      <c r="G48" s="2260"/>
      <c r="H48" s="2260"/>
      <c r="I48" s="2287"/>
      <c r="J48" s="2257"/>
      <c r="K48" s="1364"/>
      <c r="L48" s="1365"/>
      <c r="P48" s="2258"/>
      <c r="Q48" s="2258"/>
      <c r="R48" s="357"/>
      <c r="S48" s="1279"/>
      <c r="T48" s="288" t="s">
        <v>505</v>
      </c>
      <c r="U48" s="368"/>
      <c r="V48" s="368"/>
      <c r="W48" s="368"/>
      <c r="X48" s="368"/>
      <c r="Y48" s="368"/>
      <c r="Z48" s="368"/>
      <c r="AA48" s="368"/>
      <c r="AB48" s="368"/>
      <c r="AC48" s="368"/>
      <c r="AD48" s="368"/>
      <c r="AE48" s="368"/>
      <c r="AF48" s="368"/>
      <c r="AG48" s="368"/>
      <c r="AH48" s="368"/>
      <c r="AI48" s="368"/>
      <c r="AJ48" s="368"/>
      <c r="AK48" s="1259" t="s">
        <v>506</v>
      </c>
      <c r="AM48" s="501"/>
      <c r="AN48" s="501" t="str">
        <f>IF(T48="","",T48)</f>
        <v>Добавить значение признака дифференциации</v>
      </c>
      <c r="AO48" s="501"/>
      <c r="AP48" s="501"/>
      <c r="AQ48" s="1156">
        <v>20</v>
      </c>
    </row>
    <row customHeight="1" ht="22.049999999999997">
      <c r="A49" s="1364" t="s">
        <v>248</v>
      </c>
      <c r="B49" s="1364" t="s">
        <v>249</v>
      </c>
      <c r="C49" s="1364" t="s">
        <v>250</v>
      </c>
      <c r="D49" s="1364" t="s">
        <v>515</v>
      </c>
      <c r="E49" s="2260"/>
      <c r="F49" s="2260"/>
      <c r="G49" s="2260"/>
      <c r="H49" s="2260"/>
      <c r="I49" s="2257"/>
      <c r="J49" s="1364"/>
      <c r="K49" s="1364"/>
      <c r="L49" s="1365"/>
      <c r="P49" s="2258"/>
      <c r="Q49" s="1451"/>
      <c r="R49" s="357"/>
      <c r="S49" s="1279"/>
      <c r="T49" s="366" t="s">
        <v>429</v>
      </c>
      <c r="U49" s="368"/>
      <c r="V49" s="368"/>
      <c r="W49" s="368"/>
      <c r="X49" s="368"/>
      <c r="Y49" s="368"/>
      <c r="Z49" s="368"/>
      <c r="AA49" s="368"/>
      <c r="AB49" s="367"/>
      <c r="AC49" s="368"/>
      <c r="AD49" s="368"/>
      <c r="AE49" s="368"/>
      <c r="AF49" s="368"/>
      <c r="AG49" s="368"/>
      <c r="AH49" s="368"/>
      <c r="AI49" s="367"/>
      <c r="AJ49" s="368"/>
      <c r="AK49" s="1441"/>
      <c r="AM49" s="501"/>
      <c r="AN49" s="501" t="str">
        <f>IF(T49="","",T49)</f>
        <v>Добавить группу потребителей</v>
      </c>
      <c r="AO49" s="501"/>
      <c r="AP49" s="501"/>
      <c r="AQ49" s="1156">
        <v>21</v>
      </c>
    </row>
    <row customHeight="1" ht="22.049999999999997">
      <c r="A50" s="1364" t="s">
        <v>248</v>
      </c>
      <c r="B50" s="1364" t="s">
        <v>249</v>
      </c>
      <c r="C50" s="1364" t="s">
        <v>250</v>
      </c>
      <c r="D50" s="1364" t="s">
        <v>515</v>
      </c>
      <c r="E50" s="2260"/>
      <c r="F50" s="2260"/>
      <c r="G50" s="2260"/>
      <c r="H50" s="2259"/>
      <c r="I50" s="1364"/>
      <c r="J50" s="1364"/>
      <c r="K50" s="1364"/>
      <c r="L50" s="1365"/>
      <c r="M50" s="1366"/>
      <c r="N50" s="1366"/>
      <c r="O50" s="538"/>
      <c r="P50" s="361"/>
      <c r="Q50" s="376"/>
      <c r="R50" s="356"/>
      <c r="S50" s="1279"/>
      <c r="T50" s="373" t="s">
        <v>507</v>
      </c>
      <c r="U50" s="368"/>
      <c r="V50" s="368"/>
      <c r="W50" s="368"/>
      <c r="X50" s="368"/>
      <c r="Y50" s="368"/>
      <c r="Z50" s="368"/>
      <c r="AA50" s="368"/>
      <c r="AB50" s="367"/>
      <c r="AC50" s="368"/>
      <c r="AD50" s="368"/>
      <c r="AE50" s="368"/>
      <c r="AF50" s="368"/>
      <c r="AG50" s="368"/>
      <c r="AH50" s="368"/>
      <c r="AI50" s="367"/>
      <c r="AJ50" s="368"/>
      <c r="AK50" s="304"/>
      <c r="AM50" s="501"/>
      <c r="AN50" s="501" t="str">
        <f>IF(T50="","",T50)</f>
        <v>Добавить наименование признака дифференциации</v>
      </c>
      <c r="AO50" s="501"/>
      <c r="AP50" s="501"/>
      <c r="AQ50" s="1156">
        <v>21</v>
      </c>
    </row>
    <row s="1643" customFormat="1" customHeight="1" ht="0">
      <c r="A51" s="1344" t="s">
        <v>248</v>
      </c>
      <c r="B51" s="1344" t="s">
        <v>249</v>
      </c>
      <c r="C51" s="1315"/>
      <c r="D51" s="1315"/>
      <c r="E51" s="2260"/>
      <c r="F51" s="2259"/>
      <c r="G51" s="1315"/>
      <c r="H51" s="1315"/>
      <c r="I51" s="1315"/>
      <c r="J51" s="1315"/>
      <c r="K51" s="1315"/>
      <c r="L51" s="1459"/>
      <c r="M51" s="1322"/>
      <c r="N51" s="1322"/>
      <c r="P51" s="1317"/>
      <c r="Q51" s="1318"/>
      <c r="R51" s="1317"/>
      <c r="S51" s="1323"/>
      <c r="T51" s="1326" t="s">
        <v>177</v>
      </c>
      <c r="U51" s="1325"/>
      <c r="V51" s="1325"/>
      <c r="W51" s="1325"/>
      <c r="X51" s="1325"/>
      <c r="Y51" s="1325"/>
      <c r="Z51" s="1325"/>
      <c r="AA51" s="1325"/>
      <c r="AB51" s="1325"/>
      <c r="AC51" s="1325"/>
      <c r="AD51" s="1325"/>
      <c r="AE51" s="1325"/>
      <c r="AF51" s="1325"/>
      <c r="AG51" s="1325"/>
      <c r="AH51" s="1325"/>
      <c r="AI51" s="1325"/>
      <c r="AJ51" s="1325"/>
      <c r="AK51" s="1325"/>
      <c r="AM51" s="790"/>
      <c r="AN51" s="790" t="str">
        <f>IF(T51="","",T51)</f>
        <v>Добавить централизованную систему для дифференциации</v>
      </c>
      <c r="AO51" s="790"/>
      <c r="AP51" s="790"/>
      <c r="AQ51" s="519">
        <v>0</v>
      </c>
    </row>
    <row s="1643" customFormat="1" customHeight="1" ht="0">
      <c r="A52" s="1344" t="s">
        <v>248</v>
      </c>
      <c r="B52" s="1344"/>
      <c r="C52" s="1344"/>
      <c r="D52" s="1344"/>
      <c r="E52" s="2259"/>
      <c r="F52" s="1344"/>
      <c r="G52" s="1344"/>
      <c r="H52" s="1344"/>
      <c r="I52" s="1344"/>
      <c r="J52" s="1344"/>
      <c r="K52" s="1344"/>
      <c r="L52" s="1347"/>
      <c r="M52" s="1322"/>
      <c r="N52" s="1322"/>
      <c r="O52" s="519"/>
      <c r="P52" s="381"/>
      <c r="Q52" s="1345"/>
      <c r="R52" s="381"/>
      <c r="S52" s="1323"/>
      <c r="T52" s="1326" t="s">
        <v>178</v>
      </c>
      <c r="U52" s="1325"/>
      <c r="V52" s="1325"/>
      <c r="W52" s="1325"/>
      <c r="X52" s="1325"/>
      <c r="Y52" s="1325"/>
      <c r="Z52" s="1325"/>
      <c r="AA52" s="1325"/>
      <c r="AB52" s="1325"/>
      <c r="AC52" s="1325"/>
      <c r="AD52" s="1325"/>
      <c r="AE52" s="1325"/>
      <c r="AF52" s="1325"/>
      <c r="AG52" s="1325"/>
      <c r="AH52" s="1325"/>
      <c r="AI52" s="1325"/>
      <c r="AJ52" s="1325"/>
      <c r="AK52" s="1325"/>
      <c r="AM52" s="501"/>
      <c r="AN52" s="501" t="str">
        <f>IF(T52="","",T52)</f>
        <v>Добавить территорию для дифференциации</v>
      </c>
      <c r="AO52" s="501"/>
      <c r="AP52" s="501"/>
      <c r="AQ52" s="512">
        <v>0</v>
      </c>
    </row>
    <row s="1643" customFormat="1" customHeight="1" ht="0">
      <c r="A53" s="1315"/>
      <c r="B53" s="1315"/>
      <c r="C53" s="1315"/>
      <c r="D53" s="1315"/>
      <c r="E53" s="1344"/>
      <c r="F53" s="1315"/>
      <c r="G53" s="1315"/>
      <c r="H53" s="1315"/>
      <c r="I53" s="1315"/>
      <c r="J53" s="1315"/>
      <c r="K53" s="1315"/>
      <c r="L53" s="1459"/>
      <c r="M53" s="1322"/>
      <c r="N53" s="1322"/>
      <c r="P53" s="1317"/>
      <c r="Q53" s="1318"/>
      <c r="R53" s="1317"/>
      <c r="S53" s="1323"/>
      <c r="T53" s="1326" t="s">
        <v>184</v>
      </c>
      <c r="U53" s="1325"/>
      <c r="V53" s="1325"/>
      <c r="W53" s="1325"/>
      <c r="X53" s="1325"/>
      <c r="Y53" s="1325"/>
      <c r="Z53" s="1325"/>
      <c r="AA53" s="1325"/>
      <c r="AB53" s="1325"/>
      <c r="AC53" s="1325"/>
      <c r="AD53" s="1325"/>
      <c r="AE53" s="1325"/>
      <c r="AF53" s="1325"/>
      <c r="AG53" s="1325"/>
      <c r="AH53" s="1325"/>
      <c r="AI53" s="1325"/>
      <c r="AJ53" s="1325"/>
      <c r="AK53" s="1325"/>
      <c r="AM53" s="790"/>
      <c r="AN53" s="790" t="str">
        <f>IF(T53="","",T53)</f>
        <v>Добавить наименование тарифа</v>
      </c>
      <c r="AO53" s="790"/>
      <c r="AP53" s="790"/>
      <c r="AQ53" s="519">
        <v>0</v>
      </c>
    </row>
    <row customHeight="1" ht="11.549999999999999">
      <c r="M54" s="1161"/>
      <c r="N54" s="1161"/>
      <c r="O54" s="538"/>
      <c r="P54" s="1156"/>
      <c r="Q54" s="1156"/>
      <c r="R54" s="1156"/>
      <c r="S54" s="1156"/>
      <c r="AL54" s="1156"/>
      <c r="AM54" s="1156"/>
      <c r="AN54" s="1156"/>
      <c r="AO54" s="1156"/>
      <c r="AP54" s="1156"/>
      <c r="AQ54" s="1156">
        <v>11</v>
      </c>
    </row>
    <row customHeight="1" ht="14.699999999999998">
      <c r="O55" s="538"/>
      <c r="S55" s="1254"/>
      <c r="T55" s="2286"/>
      <c r="U55" s="2286"/>
      <c r="V55" s="2286"/>
      <c r="W55" s="2286"/>
      <c r="X55" s="2286"/>
      <c r="Y55" s="2286"/>
      <c r="Z55" s="2286"/>
      <c r="AA55" s="2286"/>
      <c r="AB55" s="2286"/>
      <c r="AC55" s="2286"/>
      <c r="AD55" s="2286"/>
      <c r="AE55" s="2286"/>
      <c r="AF55" s="2286"/>
      <c r="AG55" s="2286"/>
      <c r="AH55" s="2286"/>
      <c r="AI55" s="2286"/>
      <c r="AJ55" s="2286"/>
      <c r="AK55" s="2286"/>
      <c r="AQ55" s="1156">
        <v>14</v>
      </c>
    </row>
    <row customHeight="1" ht="14.699999999999998">
      <c r="O56" s="538"/>
      <c r="AQ56" s="1156">
        <v>14</v>
      </c>
    </row>
    <row customHeight="1" ht="14.699999999999998">
      <c r="O57" s="538"/>
      <c r="S57" s="1254"/>
      <c r="T57" s="2286"/>
      <c r="U57" s="2286"/>
      <c r="V57" s="2286"/>
      <c r="W57" s="2286"/>
      <c r="X57" s="2286"/>
      <c r="Y57" s="2286"/>
      <c r="Z57" s="2286"/>
      <c r="AA57" s="2286"/>
      <c r="AB57" s="2286"/>
      <c r="AC57" s="2286"/>
      <c r="AD57" s="2286"/>
      <c r="AE57" s="2286"/>
      <c r="AF57" s="2286"/>
      <c r="AG57" s="2286"/>
      <c r="AH57" s="2286"/>
      <c r="AI57" s="2286"/>
      <c r="AJ57" s="2286"/>
      <c r="AK57" s="2286"/>
      <c r="AQ57" s="1156">
        <v>14</v>
      </c>
    </row>
    <row customHeight="1" ht="22.5" hidden="1">
      <c r="A58" s="1161" t="s">
        <v>83</v>
      </c>
      <c r="B58" s="1161">
        <v>0</v>
      </c>
      <c r="C58" s="1161">
        <v>0</v>
      </c>
      <c r="D58" s="1161">
        <v>0</v>
      </c>
      <c r="E58" s="1161">
        <v>0</v>
      </c>
      <c r="F58" s="1161">
        <v>0</v>
      </c>
      <c r="G58" s="1161">
        <v>0</v>
      </c>
      <c r="H58" s="1161">
        <v>0</v>
      </c>
      <c r="I58" s="1161">
        <v>0</v>
      </c>
      <c r="J58" s="1161">
        <v>0</v>
      </c>
      <c r="K58" s="1161">
        <v>0</v>
      </c>
      <c r="L58" s="1448">
        <v>0</v>
      </c>
      <c r="M58" s="1363">
        <v>0</v>
      </c>
      <c r="N58" s="1363">
        <v>0</v>
      </c>
      <c r="O58" s="1363">
        <v>0</v>
      </c>
      <c r="P58" s="1447">
        <v>3</v>
      </c>
      <c r="Q58" s="345">
        <v>3</v>
      </c>
      <c r="R58" s="345">
        <v>3</v>
      </c>
      <c r="S58" s="582">
        <v>12</v>
      </c>
      <c r="T58" s="1156">
        <v>35</v>
      </c>
      <c r="U58" s="1156">
        <v>0</v>
      </c>
      <c r="V58" s="1156">
        <v>0</v>
      </c>
      <c r="W58" s="1156">
        <v>0</v>
      </c>
      <c r="X58" s="1156">
        <v>0</v>
      </c>
      <c r="Y58" s="1156">
        <v>0</v>
      </c>
      <c r="Z58" s="1156">
        <v>0</v>
      </c>
      <c r="AA58" s="1156">
        <v>0</v>
      </c>
      <c r="AB58" s="1156">
        <v>0</v>
      </c>
      <c r="AC58" s="1156">
        <v>24</v>
      </c>
      <c r="AD58" s="1156">
        <v>24</v>
      </c>
      <c r="AE58" s="1156">
        <v>24</v>
      </c>
      <c r="AF58" s="1156">
        <v>11</v>
      </c>
      <c r="AG58" s="1156">
        <v>3</v>
      </c>
      <c r="AH58" s="1156">
        <v>11</v>
      </c>
      <c r="AI58" s="1156">
        <v>0</v>
      </c>
      <c r="AJ58" s="1156">
        <v>4</v>
      </c>
      <c r="AK58" s="1156">
        <v>115</v>
      </c>
      <c r="AL58" s="512">
        <v>10</v>
      </c>
      <c r="AM58" s="512">
        <v>10</v>
      </c>
      <c r="AN58" s="512">
        <v>10</v>
      </c>
      <c r="AO58" s="512">
        <v>10</v>
      </c>
      <c r="AP58" s="512">
        <v>10</v>
      </c>
      <c r="AQ58" s="1156">
        <v>23</v>
      </c>
    </row>
  </sheetData>
  <sheetProtection formatColumns="0" formatRows="0" autoFilter="0" sort="0" insertRows="0" insertColumns="1" deleteRows="0" deleteColumns="0"/>
  <mergeCells count="101">
    <mergeCell ref="E41:E52"/>
    <mergeCell ref="V41:AB41"/>
    <mergeCell ref="AC41:AJ41"/>
    <mergeCell ref="F42:F51"/>
    <mergeCell ref="V42:AB42"/>
    <mergeCell ref="AC42:AJ42"/>
    <mergeCell ref="G43:G50"/>
    <mergeCell ref="V43:AB43"/>
    <mergeCell ref="AC43:AJ43"/>
    <mergeCell ref="H44:H50"/>
    <mergeCell ref="I44:I49"/>
    <mergeCell ref="P44:P49"/>
    <mergeCell ref="V44:AB44"/>
    <mergeCell ref="AC44:AJ44"/>
    <mergeCell ref="J45:J48"/>
    <mergeCell ref="Q45:Q48"/>
    <mergeCell ref="V45:AB45"/>
    <mergeCell ref="K46:K47"/>
    <mergeCell ref="Y46:Y47"/>
    <mergeCell ref="E2:E13"/>
    <mergeCell ref="V2:AB2"/>
    <mergeCell ref="AC2:AJ2"/>
    <mergeCell ref="AI37:AI39"/>
    <mergeCell ref="V29:AA29"/>
    <mergeCell ref="AC29:AH29"/>
    <mergeCell ref="V30:AA30"/>
    <mergeCell ref="AC30:AH30"/>
    <mergeCell ref="Z39:AA39"/>
    <mergeCell ref="AG39:AH39"/>
    <mergeCell ref="AI7:AI8"/>
    <mergeCell ref="S30:T30"/>
    <mergeCell ref="S24:AH24"/>
    <mergeCell ref="S25:AH25"/>
    <mergeCell ref="S27:T27"/>
    <mergeCell ref="V27:AA27"/>
    <mergeCell ref="AC27:AH27"/>
    <mergeCell ref="S28:T28"/>
    <mergeCell ref="V28:AA28"/>
    <mergeCell ref="Y38:AA38"/>
    <mergeCell ref="AD38:AE38"/>
    <mergeCell ref="AF38:AH38"/>
    <mergeCell ref="AG7:AG8"/>
    <mergeCell ref="AH7:AH8"/>
    <mergeCell ref="AK7:AK8"/>
    <mergeCell ref="AF15:AF16"/>
    <mergeCell ref="AG15:AG16"/>
    <mergeCell ref="AH15:AH16"/>
    <mergeCell ref="AI15:AI16"/>
    <mergeCell ref="Z46:Z47"/>
    <mergeCell ref="AC45:AJ45"/>
    <mergeCell ref="AA46:AA47"/>
    <mergeCell ref="AB46:AB47"/>
    <mergeCell ref="AF46:AF47"/>
    <mergeCell ref="AK46:AK47"/>
    <mergeCell ref="S29:T29"/>
    <mergeCell ref="F3:F12"/>
    <mergeCell ref="V3:AB3"/>
    <mergeCell ref="AC3:AJ3"/>
    <mergeCell ref="G4:G11"/>
    <mergeCell ref="V4:AB4"/>
    <mergeCell ref="AC4:AJ4"/>
    <mergeCell ref="H5:H11"/>
    <mergeCell ref="I5:I10"/>
    <mergeCell ref="P5:P10"/>
    <mergeCell ref="V5:AB5"/>
    <mergeCell ref="AC5:AJ5"/>
    <mergeCell ref="J6:J9"/>
    <mergeCell ref="Q6:Q9"/>
    <mergeCell ref="K7:K8"/>
    <mergeCell ref="Y7:Y8"/>
    <mergeCell ref="V6:AB6"/>
    <mergeCell ref="AC6:AJ6"/>
    <mergeCell ref="AC28:AH28"/>
    <mergeCell ref="Z7:Z8"/>
    <mergeCell ref="AA7:AA8"/>
    <mergeCell ref="AB7:AB8"/>
    <mergeCell ref="AF7:AF8"/>
    <mergeCell ref="T55:AK55"/>
    <mergeCell ref="T57:AK57"/>
    <mergeCell ref="V35:AB35"/>
    <mergeCell ref="S32:T32"/>
    <mergeCell ref="V32:AA32"/>
    <mergeCell ref="AC32:AH32"/>
    <mergeCell ref="S33:T33"/>
    <mergeCell ref="V33:AA33"/>
    <mergeCell ref="AC33:AH33"/>
    <mergeCell ref="AC35:AI35"/>
    <mergeCell ref="Z40:AA40"/>
    <mergeCell ref="AG40:AH40"/>
    <mergeCell ref="S36:AJ36"/>
    <mergeCell ref="AK36:AK39"/>
    <mergeCell ref="S37:S39"/>
    <mergeCell ref="T37:T39"/>
    <mergeCell ref="V37:AA37"/>
    <mergeCell ref="AB37:AB39"/>
    <mergeCell ref="AG46:AG47"/>
    <mergeCell ref="AH46:AH47"/>
    <mergeCell ref="AI46:AI47"/>
    <mergeCell ref="AJ37:AJ39"/>
    <mergeCell ref="AC37:AH37"/>
    <mergeCell ref="W38:X38"/>
  </mergeCells>
  <dataValidations count="8">
    <dataValidation allowBlank="1" showInputMessage="1" showErrorMessage="1" prompt="Для выбора выполните двойной щелчок левой клавиши мыши по соответствующей ячейке." sqref="Z65578 Z131114 Z196650 Z262186 Z327722 Z393258 Z458794 Z524330 Z589866 Z655402 Z720938 Z786474 Z852010 Z917546 Z983082 AB131114 AB458794 AB196650 AB262186 AB327722 AB393258 AB524330 AB589866 AB655402 AB720938 AB786474 AB852010 AB917546 AB983082 AB65578 AG65578 AG131114 AG196650 AG262186 AG327722 AG393258 AG458794 AG524330 AG589866 AG655402 AG720938 AG786474 AG852010 AG917546 AG983082 AI46 AI524330 AI196650 AI589866 AI655402 AI15 AI720938 AI786474 AI852010 AI917546 AI983082 AI65578 AI131114 AI458794 AI262186 AG46 AI7 Z46 AB46 AG15 AG7 Z7 AB7 AI327722 AI393258"/>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Y65578 Y131114 Y196650 Y262186 Y327722 Y393258 Y458794 Y524330 Y589866 Y655402 Y720938 Y786474 Y852010 Y917546 Y983082 AA65578 AA131114 AA196650 AA262186 AA327722 AA393258 AA458794 AA524330 AA589866 AA655402 AA720938 AA786474 AA852010 AA917546 AA983082 AF15 AF65578 AF131114 AF196650 AF262186 AF327722 AF393258 AF458794 AF524330 AF589866 AF655402 AF720938 AF786474 AF852010 AF917546 AF983082 AH65578 AH131114 AH196650 AH262186 AH327722 AH393258 AH458794 AH524330 AH589866 AH655402 AH720938 AH786474 AH852010 AH917546 AH983082 AH46 AF46 AH15 Y46 AA46 AH7 AF7 Y7 AA7"/>
    <dataValidation type="list" allowBlank="1" showInputMessage="1" showErrorMessage="1" errorTitle="Ошибка" error="Выберите значение из списка" sqref="T65578 T131114 T196650 T262186 T327722 T393258 T458794 T524330 T589866 T655402 T720938 T786474 T852010 T917546 T983082">
      <formula1>kind_of_heat_transfer</formula1>
    </dataValidation>
    <dataValidation type="textLength" operator="lessThanOrEqual" allowBlank="1" showInputMessage="1" showErrorMessage="1" errorTitle="Ошибка" error="Допускается ввод не более 900 символов!" sqref="AK65572:AK65579 AK131108:AK131115 AK196644:AK196651 AK262180:AK262187 AK327716:AK327723 AK393252:AK393259 AK458788:AK458795 AK524324:AK524331 AK589860:AK589867 AK655396:AK655403 AK720932:AK720939 AK786468:AK786475 AK852004:AK852011 AK917540:AK917547 AK983076:AK983083 T46 T7 AC44:AJ44 AC5:AJ5">
      <formula1>900</formula1>
    </dataValidation>
    <dataValidation type="list" allowBlank="1" showInputMessage="1" showErrorMessage="1" errorTitle="Ошибка" error="Выберите значение из списка" sqref="V983080 V65576 V131112 V196648 V262184 V327720 V393256 V458792 V524328 V589864 V655400 V720936 V786472 V852008 V917544 AC983080 AC65576 AC131112 AC196648 AC262184 AC327720 AC393256 AC458792 AC524328 AC589864 AC655400 AC720936 AC786472 AC852008 AC917544">
      <formula1>kind_of_scheme_in</formula1>
    </dataValidation>
    <dataValidation allowBlank="1" promptTitle="checkPeriodRange" sqref="X65579 X131115 X196651 X262187 X327723 X393259 X458795 X524331 X589867 X655403 X720939 X786475 X852011 X917547 X983083 AE16 AE65579 AE131115 AE196651 AE262187 AE327723 AE393259 AE458795 AE524331 AE589867 AE655403 AE720939 AE786475 AE852011 AE917547 AE983083 X47 AE8 X8 AE47"/>
    <dataValidation type="list" allowBlank="1" showInputMessage="1" errorTitle="Ошибка" error="Выберите значение из списка" prompt="Выберите значение из списка" sqref="V983081:AJ983081 V65577:AJ65577 V131113:AJ131113 V196649:AJ196649 V262185:AJ262185 V327721:AJ327721 V393257:AJ393257 V458793:AJ458793 V524329:AJ524329 V589865:AJ589865 V655401:AJ655401 V720937:AJ720937 V786473:AJ786473 V852009:AJ852009 V917545:AJ917545">
      <formula1>kind_of_cons</formula1>
    </dataValidation>
    <dataValidation allowBlank="1" sqref="S131116:AK131122 S196652:AK196658 S262188:AK262194 S327724:AK327730 S393260:AK393266 S458796:AK458802 S524332:AK524338 S589868:AK589874 S655404:AK655410 S720940:AK720946 S786476:AK786482 S852012:AK852018 S917548:AK917554 S983084:AK983090 S65580:AK65586"/>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577605D8-E4D8-45B8-5958-00A384242A68}" mc:Ignorable="x14ac xr xr2 xr3">
  <sheetPr>
    <tabColor theme="6" tint="0.4"/>
  </sheetPr>
  <dimension ref="A1:AQ58"/>
  <sheetViews>
    <sheetView showGridLines="0" zoomScale="90" workbookViewId="0">
      <pane xSplit="28" ySplit="40" topLeftCell="AC41" activePane="bottomRight" state="frozen"/>
      <selection pane="bottomLeft" activeCell="A41" sqref="A41"/>
      <selection pane="topRight" activeCell="AC1" sqref="AC1"/>
      <selection pane="bottomRight" activeCell="A1" sqref="A1"/>
    </sheetView>
  </sheetViews>
  <sheetFormatPr defaultColWidth="10.57421875" customHeight="1" defaultRowHeight="14.25"/>
  <cols>
    <col min="1" max="1" style="1367" width="10.57421875" hidden="1"/>
    <col min="2" max="2" style="1367" width="11.00390625" hidden="1" customWidth="1"/>
    <col min="3" max="3" style="1367" width="10.57421875" hidden="1"/>
    <col min="4" max="4" style="1367" width="11.8515625" hidden="1" customWidth="1"/>
    <col min="5" max="5" style="1367" width="10.00390625" hidden="1" customWidth="1"/>
    <col min="6" max="6" style="1367" width="8.7109375" hidden="1" customWidth="1"/>
    <col min="7" max="7" style="1367" width="7.57421875" hidden="1" customWidth="1"/>
    <col min="8" max="8" style="1367" width="11.421875" hidden="1" customWidth="1"/>
    <col min="9" max="9" style="1367" width="14.140625" hidden="1" customWidth="1"/>
    <col min="10" max="10" style="1367" width="9.8515625" hidden="1" customWidth="1"/>
    <col min="11" max="11" style="1367" width="14.7109375" hidden="1" customWidth="1"/>
    <col min="12" max="12" style="2608" width="19.140625" hidden="1" customWidth="1"/>
    <col min="13" max="14" style="1777" width="12.28125" hidden="1" customWidth="1"/>
    <col min="15" max="15" style="1777" width="23.421875" hidden="1" customWidth="1"/>
    <col min="16" max="16" style="2398" width="3.00390625" customWidth="1"/>
    <col min="17" max="18" style="345" width="3.00390625" customWidth="1"/>
    <col min="19" max="19" style="2408" width="12.00390625" customWidth="1"/>
    <col min="20" max="20" style="1636" width="35.00390625" customWidth="1"/>
    <col min="21" max="21" style="1636" width="0.140625" customWidth="1"/>
    <col min="22" max="24" style="1636" width="24.7109375" hidden="1" customWidth="1"/>
    <col min="25" max="25" style="1636" width="11.7109375" hidden="1" customWidth="1"/>
    <col min="26" max="26" style="1636" width="3.7109375" hidden="1" customWidth="1"/>
    <col min="27" max="27" style="1636" width="11.7109375" hidden="1" customWidth="1"/>
    <col min="28" max="28" style="1636" width="8.57421875" hidden="1" customWidth="1"/>
    <col min="29" max="29" style="1636" width="24.7109375" customWidth="1"/>
    <col min="30" max="31" style="1636" width="24.00390625" customWidth="1"/>
    <col min="32" max="32" style="1636" width="11.00390625" customWidth="1"/>
    <col min="33" max="33" style="1636" width="3.7109375" customWidth="1"/>
    <col min="34" max="34" style="1636" width="11.00390625" customWidth="1"/>
    <col min="35" max="35" style="1636" width="8.57421875" hidden="1" customWidth="1"/>
    <col min="36" max="36" style="1636" width="4.00390625" customWidth="1"/>
    <col min="37" max="37" style="1636" width="115.00390625" customWidth="1"/>
    <col min="38" max="42" style="1643" width="10.00390625" customWidth="1"/>
    <col min="43" max="43" style="1636" width="10.57421875" hidden="1"/>
  </cols>
  <sheetData>
    <row customHeight="1" ht="22.5" hidden="1">
      <c r="X1" s="328"/>
      <c r="Y1" s="328"/>
      <c r="AE1" s="328"/>
      <c r="AF1" s="328"/>
      <c r="AQ1" s="1156" t="s">
        <v>14</v>
      </c>
    </row>
    <row customHeight="1" ht="23.25" hidden="1">
      <c r="A2" s="1364"/>
      <c r="B2" s="1364"/>
      <c r="C2" s="1364"/>
      <c r="D2" s="1364"/>
      <c r="E2" s="2259">
        <v>1</v>
      </c>
      <c r="F2" s="1364"/>
      <c r="G2" s="1364"/>
      <c r="H2" s="1364"/>
      <c r="I2" s="1364"/>
      <c r="J2" s="1364"/>
      <c r="K2" s="1364"/>
      <c r="L2" s="1365"/>
      <c r="M2" s="1366"/>
      <c r="N2" s="1366"/>
      <c r="O2" s="1366"/>
      <c r="P2" s="362"/>
      <c r="Q2" s="361"/>
      <c r="R2" s="356"/>
      <c r="S2" s="1458">
        <f>INDEX(PT_DIFFERENTIATION_NUM_NTAR,MATCH(A2,PT_DIFFERENTIATION_NTAR_ID,0))</f>
      </c>
      <c r="T2" s="299" t="s">
        <v>131</v>
      </c>
      <c r="U2" s="301"/>
      <c r="V2" s="2243"/>
      <c r="W2" s="2244"/>
      <c r="X2" s="2244"/>
      <c r="Y2" s="2244"/>
      <c r="Z2" s="2244"/>
      <c r="AA2" s="2244"/>
      <c r="AB2" s="2245"/>
      <c r="AC2" s="2243">
        <f>INDEX(PT_DIFFERENTIATION_NTAR,MATCH(A2,PT_DIFFERENTIATION_NTAR_ID,0))</f>
      </c>
      <c r="AD2" s="2244"/>
      <c r="AE2" s="2244"/>
      <c r="AF2" s="2244"/>
      <c r="AG2" s="2244"/>
      <c r="AH2" s="2244"/>
      <c r="AI2" s="2244"/>
      <c r="AJ2" s="2245"/>
      <c r="AK2" s="1259"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M2" s="501"/>
      <c r="AN2" s="501" t="str">
        <f>IF(T2="","",T2)</f>
        <v>Наименование тарифа</v>
      </c>
      <c r="AO2" s="501"/>
      <c r="AP2" s="501"/>
      <c r="AQ2" s="1156">
        <v>0</v>
      </c>
    </row>
    <row customHeight="1" ht="23.25" hidden="1">
      <c r="A3" s="1364"/>
      <c r="B3" s="1364"/>
      <c r="C3" s="1364"/>
      <c r="D3" s="1364"/>
      <c r="E3" s="2260"/>
      <c r="F3" s="2259">
        <v>1</v>
      </c>
      <c r="G3" s="1364"/>
      <c r="H3" s="1364"/>
      <c r="I3" s="1364"/>
      <c r="J3" s="1364"/>
      <c r="K3" s="1364"/>
      <c r="L3" s="1365"/>
      <c r="M3" s="1366"/>
      <c r="N3" s="1366"/>
      <c r="O3" s="1366"/>
      <c r="P3" s="1454"/>
      <c r="Q3" s="353"/>
      <c r="R3" s="354"/>
      <c r="S3" s="1458">
        <f>INDEX(PT_DIFFERENTIATION_NUM_TER,MATCH(B3,PT_DIFFERENTIATION_TER_ID,0))</f>
      </c>
      <c r="T3" s="309" t="s">
        <v>414</v>
      </c>
      <c r="U3" s="301"/>
      <c r="V3" s="2243"/>
      <c r="W3" s="2244"/>
      <c r="X3" s="2244"/>
      <c r="Y3" s="2244"/>
      <c r="Z3" s="2244"/>
      <c r="AA3" s="2244"/>
      <c r="AB3" s="2245"/>
      <c r="AC3" s="2243">
        <f>INDEX(PT_DIFFERENTIATION_TER,MATCH(B3,PT_DIFFERENTIATION_TER_ID,0))</f>
      </c>
      <c r="AD3" s="2244"/>
      <c r="AE3" s="2244"/>
      <c r="AF3" s="2244"/>
      <c r="AG3" s="2244"/>
      <c r="AH3" s="2244"/>
      <c r="AI3" s="2244"/>
      <c r="AJ3" s="2245"/>
      <c r="AK3" s="1259" t="s">
        <v>415</v>
      </c>
      <c r="AM3" s="501"/>
      <c r="AN3" s="501" t="str">
        <f>IF(T3="","",T3)</f>
        <v>Территория действия тарифа</v>
      </c>
      <c r="AO3" s="501"/>
      <c r="AP3" s="501"/>
      <c r="AQ3" s="1156">
        <v>0</v>
      </c>
    </row>
    <row customHeight="1" ht="23.25" hidden="1">
      <c r="A4" s="1364"/>
      <c r="B4" s="1364"/>
      <c r="C4" s="1364"/>
      <c r="D4" s="1364"/>
      <c r="E4" s="2260"/>
      <c r="F4" s="2260"/>
      <c r="G4" s="2259">
        <v>1</v>
      </c>
      <c r="H4" s="1364"/>
      <c r="I4" s="1364"/>
      <c r="J4" s="1364"/>
      <c r="K4" s="1364"/>
      <c r="L4" s="1365"/>
      <c r="M4" s="1366"/>
      <c r="N4" s="1366"/>
      <c r="O4" s="1366"/>
      <c r="P4" s="355"/>
      <c r="Q4" s="353"/>
      <c r="R4" s="354"/>
      <c r="S4" s="1458">
        <f>INDEX(PT_DIFFERENTIATION_NUM_CS,MATCH(C4,PT_DIFFERENTIATION_CS_ID,0))</f>
      </c>
      <c r="T4" s="310" t="s">
        <v>500</v>
      </c>
      <c r="U4" s="301"/>
      <c r="V4" s="2243"/>
      <c r="W4" s="2244"/>
      <c r="X4" s="2244"/>
      <c r="Y4" s="2244"/>
      <c r="Z4" s="2244"/>
      <c r="AA4" s="2244"/>
      <c r="AB4" s="2245"/>
      <c r="AC4" s="2243">
        <f>INDEX(PT_DIFFERENTIATION_CS,MATCH(C4,PT_DIFFERENTIATION_CS_ID,0))</f>
      </c>
      <c r="AD4" s="2244"/>
      <c r="AE4" s="2244"/>
      <c r="AF4" s="2244"/>
      <c r="AG4" s="2244"/>
      <c r="AH4" s="2244"/>
      <c r="AI4" s="2244"/>
      <c r="AJ4" s="2245"/>
      <c r="AK4" s="1259" t="s">
        <v>501</v>
      </c>
      <c r="AM4" s="501"/>
      <c r="AN4" s="501" t="str">
        <f>IF(T4="","",T4)</f>
        <v>Наименование централизованной системы холодного водоснабжения</v>
      </c>
      <c r="AO4" s="501"/>
      <c r="AP4" s="501"/>
      <c r="AQ4" s="1156">
        <v>0</v>
      </c>
    </row>
    <row customHeight="1" ht="23.25" hidden="1">
      <c r="A5" s="1364"/>
      <c r="B5" s="1364"/>
      <c r="C5" s="1364"/>
      <c r="D5" s="1364"/>
      <c r="E5" s="2260"/>
      <c r="F5" s="2260"/>
      <c r="G5" s="2260"/>
      <c r="H5" s="2260"/>
      <c r="I5" s="2257">
        <f>S4&amp;".1"</f>
      </c>
      <c r="J5" s="1364"/>
      <c r="K5" s="1364"/>
      <c r="L5" s="1365"/>
      <c r="P5" s="2258">
        <v>1</v>
      </c>
      <c r="Q5" s="1451"/>
      <c r="R5" s="357"/>
      <c r="S5" s="1458">
        <f>$I5</f>
      </c>
      <c r="T5" s="286" t="s">
        <v>502</v>
      </c>
      <c r="U5" s="301"/>
      <c r="V5" s="2351"/>
      <c r="W5" s="2352"/>
      <c r="X5" s="2352"/>
      <c r="Y5" s="2352"/>
      <c r="Z5" s="2352"/>
      <c r="AA5" s="2352"/>
      <c r="AB5" s="2353"/>
      <c r="AC5" s="2354"/>
      <c r="AD5" s="2355"/>
      <c r="AE5" s="2355"/>
      <c r="AF5" s="2355"/>
      <c r="AG5" s="2355"/>
      <c r="AH5" s="2355"/>
      <c r="AI5" s="2355"/>
      <c r="AJ5" s="2356"/>
      <c r="AK5" s="1259" t="s">
        <v>503</v>
      </c>
      <c r="AM5" s="501"/>
      <c r="AN5" s="501" t="str">
        <f>IF(T5="","",T5)</f>
        <v>Наименование признака дифференциации</v>
      </c>
      <c r="AO5" s="501"/>
      <c r="AP5" s="501"/>
      <c r="AQ5" s="1156">
        <v>0</v>
      </c>
    </row>
    <row customHeight="1" ht="23.25" hidden="1">
      <c r="A6" s="1364"/>
      <c r="B6" s="1364"/>
      <c r="C6" s="1364"/>
      <c r="D6" s="1364"/>
      <c r="E6" s="2260"/>
      <c r="F6" s="2260"/>
      <c r="G6" s="2260"/>
      <c r="H6" s="2260"/>
      <c r="I6" s="2287"/>
      <c r="J6" s="2257">
        <f>I5&amp;".1"</f>
      </c>
      <c r="K6" s="1364"/>
      <c r="L6" s="1365" t="s">
        <v>423</v>
      </c>
      <c r="P6" s="2258"/>
      <c r="Q6" s="2258">
        <v>1</v>
      </c>
      <c r="R6" s="358"/>
      <c r="S6" s="1458">
        <f>$J6</f>
      </c>
      <c r="T6" s="287" t="s">
        <v>424</v>
      </c>
      <c r="U6" s="301"/>
      <c r="V6" s="2246"/>
      <c r="W6" s="2247"/>
      <c r="X6" s="2247"/>
      <c r="Y6" s="2247"/>
      <c r="Z6" s="2247"/>
      <c r="AA6" s="2247"/>
      <c r="AB6" s="2248"/>
      <c r="AC6" s="2246"/>
      <c r="AD6" s="2247"/>
      <c r="AE6" s="2247"/>
      <c r="AF6" s="2247"/>
      <c r="AG6" s="2247"/>
      <c r="AH6" s="2247"/>
      <c r="AI6" s="2247"/>
      <c r="AJ6" s="2248"/>
      <c r="AK6" s="1308" t="s">
        <v>504</v>
      </c>
      <c r="AM6" s="501"/>
      <c r="AN6" s="501" t="str">
        <f>IF(T6="","",T6)</f>
        <v>Группа потребителей</v>
      </c>
      <c r="AO6" s="501"/>
      <c r="AP6" s="501"/>
      <c r="AQ6" s="1156">
        <v>0</v>
      </c>
    </row>
    <row customHeight="1" ht="23.25" hidden="1">
      <c r="A7" s="1364"/>
      <c r="B7" s="1364"/>
      <c r="C7" s="1364"/>
      <c r="D7" s="1364"/>
      <c r="E7" s="2260"/>
      <c r="F7" s="2260"/>
      <c r="G7" s="2260"/>
      <c r="H7" s="2260"/>
      <c r="I7" s="2287"/>
      <c r="J7" s="2287"/>
      <c r="K7" s="2257">
        <f>J6&amp;".1"</f>
      </c>
      <c r="L7" s="1365"/>
      <c r="P7" s="2258"/>
      <c r="Q7" s="2258"/>
      <c r="R7" s="358">
        <v>1</v>
      </c>
      <c r="S7" s="1458">
        <f>$K7</f>
      </c>
      <c r="T7" s="1438"/>
      <c r="U7" s="301"/>
      <c r="V7" s="752"/>
      <c r="W7" s="752"/>
      <c r="X7" s="1258"/>
      <c r="Y7" s="2266"/>
      <c r="Z7" s="2108" t="s">
        <v>61</v>
      </c>
      <c r="AA7" s="2266"/>
      <c r="AB7" s="2108" t="s">
        <v>61</v>
      </c>
      <c r="AC7" s="752"/>
      <c r="AD7" s="752"/>
      <c r="AE7" s="1258"/>
      <c r="AF7" s="2266"/>
      <c r="AG7" s="2108" t="s">
        <v>61</v>
      </c>
      <c r="AH7" s="2288"/>
      <c r="AI7" s="2108" t="s">
        <v>61</v>
      </c>
      <c r="AJ7" s="1439"/>
      <c r="AK7" s="2350"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7" s="512">
        <f>STRCHECKDATE(V8:AJ8)</f>
      </c>
      <c r="AM7" s="501"/>
      <c r="AN7" s="501" t="str">
        <f>IF(T7="","",T7)</f>
        <v/>
      </c>
      <c r="AO7" s="501"/>
      <c r="AP7" s="501"/>
      <c r="AQ7" s="1156">
        <v>0</v>
      </c>
    </row>
    <row customHeight="1" ht="14.25" hidden="1">
      <c r="A8" s="1364"/>
      <c r="B8" s="1364"/>
      <c r="C8" s="1364"/>
      <c r="D8" s="1364"/>
      <c r="E8" s="2260"/>
      <c r="F8" s="2260"/>
      <c r="G8" s="2260"/>
      <c r="H8" s="2260"/>
      <c r="I8" s="2287"/>
      <c r="J8" s="2287"/>
      <c r="K8" s="2257"/>
      <c r="L8" s="1365"/>
      <c r="P8" s="2258"/>
      <c r="Q8" s="2258"/>
      <c r="R8" s="358"/>
      <c r="S8" s="1457"/>
      <c r="T8" s="301"/>
      <c r="U8" s="301"/>
      <c r="V8" s="326"/>
      <c r="W8" s="326"/>
      <c r="X8" s="329" t="str">
        <f>Y7&amp;"-"&amp;AA7</f>
        <v>-</v>
      </c>
      <c r="Y8" s="2267"/>
      <c r="Z8" s="2108"/>
      <c r="AA8" s="2267"/>
      <c r="AB8" s="2108"/>
      <c r="AC8" s="326"/>
      <c r="AD8" s="326"/>
      <c r="AE8" s="329" t="str">
        <f>AF7&amp;"-"&amp;AH7</f>
        <v>-</v>
      </c>
      <c r="AF8" s="2267"/>
      <c r="AG8" s="2108"/>
      <c r="AH8" s="2289"/>
      <c r="AI8" s="2108"/>
      <c r="AJ8" s="1440"/>
      <c r="AK8" s="2350"/>
      <c r="AM8" s="501"/>
      <c r="AN8" s="501" t="str">
        <f>IF(T8="","",T8)</f>
        <v/>
      </c>
      <c r="AO8" s="501"/>
      <c r="AP8" s="501"/>
      <c r="AQ8" s="1156">
        <v>0</v>
      </c>
    </row>
    <row customHeight="1" ht="21" hidden="1">
      <c r="A9" s="1364"/>
      <c r="B9" s="1364"/>
      <c r="C9" s="1364"/>
      <c r="D9" s="1364"/>
      <c r="E9" s="2260"/>
      <c r="F9" s="2260"/>
      <c r="G9" s="2260"/>
      <c r="H9" s="2260"/>
      <c r="I9" s="2287"/>
      <c r="J9" s="2257"/>
      <c r="K9" s="1364"/>
      <c r="L9" s="1365"/>
      <c r="P9" s="2258"/>
      <c r="Q9" s="2258"/>
      <c r="R9" s="357"/>
      <c r="S9" s="1279"/>
      <c r="T9" s="288" t="s">
        <v>505</v>
      </c>
      <c r="U9" s="368"/>
      <c r="V9" s="368"/>
      <c r="W9" s="368"/>
      <c r="X9" s="368"/>
      <c r="Y9" s="368"/>
      <c r="Z9" s="368"/>
      <c r="AA9" s="368"/>
      <c r="AB9" s="368"/>
      <c r="AC9" s="368"/>
      <c r="AD9" s="368"/>
      <c r="AE9" s="368"/>
      <c r="AF9" s="368"/>
      <c r="AG9" s="368"/>
      <c r="AH9" s="368"/>
      <c r="AI9" s="368"/>
      <c r="AJ9" s="368"/>
      <c r="AK9" s="1259" t="s">
        <v>506</v>
      </c>
      <c r="AM9" s="501"/>
      <c r="AN9" s="501" t="str">
        <f>IF(T9="","",T9)</f>
        <v>Добавить значение признака дифференциации</v>
      </c>
      <c r="AO9" s="501"/>
      <c r="AP9" s="501"/>
      <c r="AQ9" s="1156">
        <v>0</v>
      </c>
    </row>
    <row customHeight="1" ht="21" hidden="1">
      <c r="A10" s="1364"/>
      <c r="B10" s="1364"/>
      <c r="C10" s="1364"/>
      <c r="D10" s="1364"/>
      <c r="E10" s="2260"/>
      <c r="F10" s="2260"/>
      <c r="G10" s="2260"/>
      <c r="H10" s="2260"/>
      <c r="I10" s="2257"/>
      <c r="J10" s="1364"/>
      <c r="K10" s="1364"/>
      <c r="L10" s="1365"/>
      <c r="P10" s="2258"/>
      <c r="Q10" s="1451"/>
      <c r="R10" s="357"/>
      <c r="S10" s="1279"/>
      <c r="T10" s="366" t="s">
        <v>429</v>
      </c>
      <c r="U10" s="368"/>
      <c r="V10" s="368"/>
      <c r="W10" s="368"/>
      <c r="X10" s="368"/>
      <c r="Y10" s="368"/>
      <c r="Z10" s="368"/>
      <c r="AA10" s="368"/>
      <c r="AB10" s="367"/>
      <c r="AC10" s="368"/>
      <c r="AD10" s="368"/>
      <c r="AE10" s="368"/>
      <c r="AF10" s="368"/>
      <c r="AG10" s="368"/>
      <c r="AH10" s="368"/>
      <c r="AI10" s="367"/>
      <c r="AJ10" s="368"/>
      <c r="AK10" s="1441"/>
      <c r="AM10" s="501"/>
      <c r="AN10" s="501" t="str">
        <f>IF(T10="","",T10)</f>
        <v>Добавить группу потребителей</v>
      </c>
      <c r="AO10" s="501"/>
      <c r="AP10" s="501"/>
      <c r="AQ10" s="1156">
        <v>0</v>
      </c>
    </row>
    <row customHeight="1" ht="21" hidden="1">
      <c r="A11" s="1364"/>
      <c r="B11" s="1364"/>
      <c r="C11" s="1364"/>
      <c r="D11" s="1364"/>
      <c r="E11" s="2260"/>
      <c r="F11" s="2260"/>
      <c r="G11" s="2260"/>
      <c r="H11" s="2259"/>
      <c r="I11" s="1364"/>
      <c r="J11" s="1364"/>
      <c r="K11" s="1364"/>
      <c r="L11" s="1365"/>
      <c r="M11" s="1366"/>
      <c r="N11" s="1366"/>
      <c r="O11" s="538"/>
      <c r="P11" s="361"/>
      <c r="Q11" s="376"/>
      <c r="R11" s="356"/>
      <c r="S11" s="1279"/>
      <c r="T11" s="373" t="s">
        <v>507</v>
      </c>
      <c r="U11" s="368"/>
      <c r="V11" s="368"/>
      <c r="W11" s="368"/>
      <c r="X11" s="368"/>
      <c r="Y11" s="368"/>
      <c r="Z11" s="368"/>
      <c r="AA11" s="368"/>
      <c r="AB11" s="367"/>
      <c r="AC11" s="368"/>
      <c r="AD11" s="368"/>
      <c r="AE11" s="368"/>
      <c r="AF11" s="368"/>
      <c r="AG11" s="368"/>
      <c r="AH11" s="368"/>
      <c r="AI11" s="367"/>
      <c r="AJ11" s="368"/>
      <c r="AK11" s="304"/>
      <c r="AM11" s="501"/>
      <c r="AN11" s="501" t="str">
        <f>IF(T11="","",T11)</f>
        <v>Добавить наименование признака дифференциации</v>
      </c>
      <c r="AO11" s="501"/>
      <c r="AP11" s="501"/>
      <c r="AQ11" s="1156">
        <v>0</v>
      </c>
    </row>
    <row s="1643" customFormat="1" customHeight="1" ht="14.25" hidden="1">
      <c r="A12" s="1344"/>
      <c r="B12" s="1344"/>
      <c r="C12" s="1315"/>
      <c r="D12" s="1315"/>
      <c r="E12" s="2260"/>
      <c r="F12" s="2259"/>
      <c r="G12" s="1315"/>
      <c r="H12" s="1315"/>
      <c r="I12" s="1315"/>
      <c r="J12" s="1315"/>
      <c r="K12" s="1315"/>
      <c r="L12" s="1459"/>
      <c r="M12" s="1322"/>
      <c r="N12" s="1322"/>
      <c r="P12" s="1317"/>
      <c r="Q12" s="1318"/>
      <c r="R12" s="1317"/>
      <c r="S12" s="1323"/>
      <c r="T12" s="1326" t="s">
        <v>177</v>
      </c>
      <c r="U12" s="1325"/>
      <c r="V12" s="1325"/>
      <c r="W12" s="1325"/>
      <c r="X12" s="1325"/>
      <c r="Y12" s="1325"/>
      <c r="Z12" s="1325"/>
      <c r="AA12" s="1325"/>
      <c r="AB12" s="1325"/>
      <c r="AC12" s="1325"/>
      <c r="AD12" s="1325"/>
      <c r="AE12" s="1325"/>
      <c r="AF12" s="1325"/>
      <c r="AG12" s="1325"/>
      <c r="AH12" s="1325"/>
      <c r="AI12" s="1325"/>
      <c r="AJ12" s="1325"/>
      <c r="AK12" s="1325"/>
      <c r="AM12" s="790"/>
      <c r="AN12" s="790" t="str">
        <f>IF(T12="","",T12)</f>
        <v>Добавить централизованную систему для дифференциации</v>
      </c>
      <c r="AO12" s="790"/>
      <c r="AP12" s="790"/>
      <c r="AQ12" s="519">
        <v>0</v>
      </c>
    </row>
    <row s="1643" customFormat="1" customHeight="1" ht="14.25" hidden="1">
      <c r="A13" s="1344"/>
      <c r="B13" s="1344"/>
      <c r="C13" s="1344"/>
      <c r="D13" s="1344"/>
      <c r="E13" s="2259"/>
      <c r="F13" s="1344"/>
      <c r="G13" s="1344"/>
      <c r="H13" s="1344"/>
      <c r="I13" s="1344"/>
      <c r="J13" s="1344"/>
      <c r="K13" s="1344"/>
      <c r="L13" s="1347"/>
      <c r="M13" s="1322"/>
      <c r="N13" s="1322"/>
      <c r="O13" s="519"/>
      <c r="P13" s="381"/>
      <c r="Q13" s="1345"/>
      <c r="R13" s="381"/>
      <c r="S13" s="1323"/>
      <c r="T13" s="1326" t="s">
        <v>178</v>
      </c>
      <c r="U13" s="1325"/>
      <c r="V13" s="1325"/>
      <c r="W13" s="1325"/>
      <c r="X13" s="1325"/>
      <c r="Y13" s="1325"/>
      <c r="Z13" s="1325"/>
      <c r="AA13" s="1325"/>
      <c r="AB13" s="1325"/>
      <c r="AC13" s="1325"/>
      <c r="AD13" s="1325"/>
      <c r="AE13" s="1325"/>
      <c r="AF13" s="1325"/>
      <c r="AG13" s="1325"/>
      <c r="AH13" s="1325"/>
      <c r="AI13" s="1325"/>
      <c r="AJ13" s="1325"/>
      <c r="AK13" s="1325"/>
      <c r="AM13" s="501"/>
      <c r="AN13" s="501" t="str">
        <f>IF(T13="","",T13)</f>
        <v>Добавить территорию для дифференциации</v>
      </c>
      <c r="AO13" s="501"/>
      <c r="AP13" s="501"/>
      <c r="AQ13" s="512">
        <v>0</v>
      </c>
    </row>
    <row customHeight="1" ht="14.25" hidden="1">
      <c r="AB14" s="328"/>
      <c r="AI14" s="328"/>
      <c r="AQ14" s="1156">
        <v>0</v>
      </c>
    </row>
    <row customHeight="1" ht="14.25" hidden="1">
      <c r="AC15" s="1361"/>
      <c r="AD15" s="1361"/>
      <c r="AE15" s="1362"/>
      <c r="AF15" s="2268"/>
      <c r="AG15" s="2269" t="s">
        <v>61</v>
      </c>
      <c r="AH15" s="2268"/>
      <c r="AI15" s="2269" t="s">
        <v>61</v>
      </c>
      <c r="AQ15" s="1156">
        <v>0</v>
      </c>
    </row>
    <row customHeight="1" ht="14.25" hidden="1">
      <c r="AC16" s="1361"/>
      <c r="AD16" s="1361"/>
      <c r="AE16" s="329" t="str">
        <f>AF15&amp;"-"&amp;AH15</f>
        <v>-</v>
      </c>
      <c r="AF16" s="2269"/>
      <c r="AG16" s="2269"/>
      <c r="AH16" s="2269"/>
      <c r="AI16" s="2269"/>
      <c r="AQ16" s="1156">
        <v>0</v>
      </c>
    </row>
    <row customHeight="1" ht="14.25" hidden="1">
      <c r="AI17" s="328"/>
      <c r="AQ17" s="1156">
        <v>0</v>
      </c>
    </row>
    <row s="1367" customFormat="1" customHeight="1" ht="22.5" hidden="1">
      <c r="L18" s="1448"/>
      <c r="M18" s="1363"/>
      <c r="N18" s="1363"/>
      <c r="O18" s="1368" t="s">
        <v>431</v>
      </c>
      <c r="P18" s="1363"/>
      <c r="Q18" s="1372"/>
      <c r="R18" s="1372"/>
      <c r="S18" s="730"/>
      <c r="Y18" s="1368"/>
      <c r="AA18" s="1368"/>
      <c r="AB18" s="1367"/>
      <c r="AF18" s="1368"/>
      <c r="AH18" s="1368"/>
      <c r="AI18" s="1367"/>
      <c r="AL18" s="512"/>
      <c r="AM18" s="512"/>
      <c r="AN18" s="512"/>
      <c r="AO18" s="512"/>
      <c r="AP18" s="512"/>
      <c r="AQ18" s="1161">
        <v>0</v>
      </c>
    </row>
    <row s="1367" customFormat="1" customHeight="1" ht="14.25" hidden="1">
      <c r="L19" s="1448"/>
      <c r="M19" s="1363"/>
      <c r="N19" s="1363"/>
      <c r="O19" s="1363"/>
      <c r="P19" s="1363"/>
      <c r="Q19" s="1372"/>
      <c r="R19" s="1372"/>
      <c r="S19" s="730"/>
      <c r="AB19" s="1367"/>
      <c r="AI19" s="1367"/>
      <c r="AL19" s="512"/>
      <c r="AM19" s="512"/>
      <c r="AN19" s="512"/>
      <c r="AO19" s="512"/>
      <c r="AP19" s="512"/>
      <c r="AQ19" s="1161">
        <v>0</v>
      </c>
    </row>
    <row s="1367" customFormat="1" customHeight="1" ht="12" hidden="1">
      <c r="L20" s="1448"/>
      <c r="M20" s="1363"/>
      <c r="N20" s="1363"/>
      <c r="O20" s="1365" t="s">
        <v>432</v>
      </c>
      <c r="P20" s="1363"/>
      <c r="Q20" s="1443"/>
      <c r="R20" s="1443"/>
      <c r="S20" s="730"/>
      <c r="T20" s="1161" t="s">
        <v>433</v>
      </c>
      <c r="Z20" s="187" t="s">
        <v>434</v>
      </c>
      <c r="AB20" s="187" t="s">
        <v>435</v>
      </c>
      <c r="AC20" s="1161" t="s">
        <v>433</v>
      </c>
      <c r="AG20" s="187" t="s">
        <v>436</v>
      </c>
      <c r="AI20" s="187" t="s">
        <v>435</v>
      </c>
      <c r="AQ20" s="1161">
        <v>0</v>
      </c>
    </row>
    <row customHeight="1" ht="14.25" hidden="1">
      <c r="O21" s="1365"/>
      <c r="AQ21" s="1156">
        <v>0</v>
      </c>
    </row>
    <row customHeight="1" ht="14.25" hidden="1">
      <c r="O22" s="1365"/>
      <c r="AQ22" s="1156">
        <v>0</v>
      </c>
    </row>
    <row customHeight="1" ht="14.699999999999998">
      <c r="Q23" s="377"/>
      <c r="R23" s="377"/>
      <c r="S23" s="1276"/>
      <c r="T23" s="364"/>
      <c r="U23" s="364"/>
      <c r="V23" s="510"/>
      <c r="W23" s="510"/>
      <c r="X23" s="510"/>
      <c r="Y23" s="510"/>
      <c r="Z23" s="510"/>
      <c r="AA23" s="510"/>
      <c r="AB23" s="510"/>
      <c r="AC23" s="510"/>
      <c r="AD23" s="510"/>
      <c r="AE23" s="510"/>
      <c r="AF23" s="510"/>
      <c r="AG23" s="510"/>
      <c r="AH23" s="510"/>
      <c r="AI23" s="510"/>
      <c r="AQ23" s="1156">
        <v>14</v>
      </c>
    </row>
    <row customHeight="1" ht="14.699999999999998">
      <c r="Q24" s="377"/>
      <c r="R24" s="377"/>
      <c r="S24" s="2249" t="str">
        <f>IF(TEMPLATE_GROUP="P",PT_P_FORM_COLDVSNA_4_NAME_FORM,PT_R_FORM_COLDVSNA_16_NAME_FORM)</f>
        <v>Форма 13. Информация о предложении организации холодного водоснабжения об установлении расчетной величины тарифов в сфере холодного водоснабжения</v>
      </c>
      <c r="T24" s="2249"/>
      <c r="U24" s="2249"/>
      <c r="V24" s="2249"/>
      <c r="W24" s="2249"/>
      <c r="X24" s="2249"/>
      <c r="Y24" s="2249"/>
      <c r="Z24" s="2249"/>
      <c r="AA24" s="2249"/>
      <c r="AB24" s="2249"/>
      <c r="AC24" s="2249"/>
      <c r="AD24" s="2249"/>
      <c r="AE24" s="2249"/>
      <c r="AF24" s="2249"/>
      <c r="AG24" s="2249"/>
      <c r="AH24" s="2249"/>
      <c r="AI24" s="1244"/>
      <c r="AQ24" s="1156">
        <v>14</v>
      </c>
    </row>
    <row customHeight="1" ht="14.699999999999998">
      <c r="Q25" s="377"/>
      <c r="R25" s="377"/>
      <c r="S25" s="2250" t="str">
        <f>IF(org=0,"Не определено",org)</f>
        <v>ПАО "КГК"</v>
      </c>
      <c r="T25" s="2250"/>
      <c r="U25" s="2250"/>
      <c r="V25" s="2250"/>
      <c r="W25" s="2250"/>
      <c r="X25" s="2250"/>
      <c r="Y25" s="2250"/>
      <c r="Z25" s="2250"/>
      <c r="AA25" s="2250"/>
      <c r="AB25" s="2250"/>
      <c r="AC25" s="2250"/>
      <c r="AD25" s="2250"/>
      <c r="AE25" s="2250"/>
      <c r="AF25" s="2250"/>
      <c r="AG25" s="2250"/>
      <c r="AH25" s="2250"/>
      <c r="AI25" s="1244"/>
      <c r="AQ25" s="1156">
        <v>14</v>
      </c>
    </row>
    <row customHeight="1" ht="14.25" hidden="1">
      <c r="Q26" s="377"/>
      <c r="R26" s="377"/>
      <c r="S26" s="1276"/>
      <c r="T26" s="364"/>
      <c r="U26" s="364"/>
      <c r="V26" s="323"/>
      <c r="W26" s="323"/>
      <c r="X26" s="323"/>
      <c r="Y26" s="323"/>
      <c r="Z26" s="323"/>
      <c r="AA26" s="323"/>
      <c r="AB26" s="323"/>
      <c r="AC26" s="323"/>
      <c r="AD26" s="323"/>
      <c r="AE26" s="323"/>
      <c r="AF26" s="323"/>
      <c r="AG26" s="323"/>
      <c r="AH26" s="323"/>
      <c r="AI26" s="323"/>
      <c r="AJ26" s="510"/>
      <c r="AQ26" s="1156">
        <v>0</v>
      </c>
    </row>
    <row s="1854" customFormat="1" customHeight="1" ht="25.5" hidden="1">
      <c r="A27" s="1369"/>
      <c r="B27" s="1369"/>
      <c r="C27" s="1369"/>
      <c r="D27" s="1369"/>
      <c r="E27" s="1369"/>
      <c r="F27" s="1369"/>
      <c r="G27" s="1369"/>
      <c r="H27" s="1369"/>
      <c r="I27" s="1369"/>
      <c r="J27" s="1369"/>
      <c r="K27" s="1369"/>
      <c r="L27" s="1370"/>
      <c r="M27" s="1369"/>
      <c r="N27" s="1369"/>
      <c r="O27" s="1369"/>
      <c r="S27" s="2251" t="s">
        <v>42</v>
      </c>
      <c r="T27" s="2251"/>
      <c r="U27" s="1373"/>
      <c r="V27" s="2252" t="str">
        <f>IF(TITLE_NAME_OR_PR_CHANGE="",IF(TITLE_NAME_OR_PR="","",TITLE_NAME_OR_PR),TITLE_NAME_OR_PR_CHANGE)</f>
        <v/>
      </c>
      <c r="W27" s="2252"/>
      <c r="X27" s="2252"/>
      <c r="Y27" s="2252"/>
      <c r="Z27" s="2252"/>
      <c r="AA27" s="2252"/>
      <c r="AB27" s="327"/>
      <c r="AC27" s="2252" t="str">
        <f>IF(TITLE_NAME_OR_PR_CHANGE="",IF(TITLE_NAME_OR_PR="","",TITLE_NAME_OR_PR),TITLE_NAME_OR_PR_CHANGE)</f>
        <v/>
      </c>
      <c r="AD27" s="2252"/>
      <c r="AE27" s="2252"/>
      <c r="AF27" s="2252"/>
      <c r="AG27" s="2252"/>
      <c r="AH27" s="2252"/>
      <c r="AI27" s="327"/>
      <c r="AJ27" s="327"/>
      <c r="AK27" s="281"/>
      <c r="AL27" s="369"/>
      <c r="AM27" s="369"/>
      <c r="AN27" s="369"/>
      <c r="AO27" s="369"/>
      <c r="AP27" s="369"/>
      <c r="AQ27" s="419">
        <v>0</v>
      </c>
    </row>
    <row s="1854" customFormat="1" customHeight="1" ht="18.75" hidden="1">
      <c r="A28" s="1369"/>
      <c r="B28" s="1369"/>
      <c r="C28" s="1369"/>
      <c r="D28" s="1369"/>
      <c r="E28" s="1369"/>
      <c r="F28" s="1369"/>
      <c r="G28" s="1369"/>
      <c r="H28" s="1369"/>
      <c r="I28" s="1369"/>
      <c r="J28" s="1369"/>
      <c r="K28" s="1369"/>
      <c r="L28" s="1370"/>
      <c r="M28" s="1369"/>
      <c r="N28" s="1369"/>
      <c r="O28" s="1369"/>
      <c r="S28" s="2251" t="s">
        <v>437</v>
      </c>
      <c r="T28" s="2251"/>
      <c r="U28" s="1373"/>
      <c r="V28" s="2265" t="str">
        <f>IF(TITLE_DATE_PR_CHANGE="",IF(TITLE_DATE_PR="","",TITLE_DATE_PR),TITLE_DATE_PR_CHANGE)</f>
        <v>46142</v>
      </c>
      <c r="W28" s="2265"/>
      <c r="X28" s="2265"/>
      <c r="Y28" s="2265"/>
      <c r="Z28" s="2265"/>
      <c r="AA28" s="2265"/>
      <c r="AB28" s="327"/>
      <c r="AC28" s="2265" t="str">
        <f>IF(TITLE_DATE_PR_CHANGE="",IF(TITLE_DATE_PR="","",TITLE_DATE_PR),TITLE_DATE_PR_CHANGE)</f>
        <v>46142</v>
      </c>
      <c r="AD28" s="2265"/>
      <c r="AE28" s="2265"/>
      <c r="AF28" s="2265"/>
      <c r="AG28" s="2265"/>
      <c r="AH28" s="2265"/>
      <c r="AI28" s="327"/>
      <c r="AJ28" s="327"/>
      <c r="AK28" s="281"/>
      <c r="AL28" s="369"/>
      <c r="AM28" s="369"/>
      <c r="AN28" s="369"/>
      <c r="AO28" s="369"/>
      <c r="AP28" s="369"/>
      <c r="AQ28" s="419">
        <v>0</v>
      </c>
    </row>
    <row s="1854" customFormat="1" customHeight="1" ht="18.75" hidden="1">
      <c r="A29" s="1369"/>
      <c r="B29" s="1369"/>
      <c r="C29" s="1369"/>
      <c r="D29" s="1369"/>
      <c r="E29" s="1369"/>
      <c r="F29" s="1369"/>
      <c r="G29" s="1369"/>
      <c r="H29" s="1369"/>
      <c r="I29" s="1369"/>
      <c r="J29" s="1369"/>
      <c r="K29" s="1369"/>
      <c r="L29" s="1370"/>
      <c r="M29" s="1369"/>
      <c r="N29" s="1369"/>
      <c r="O29" s="1369"/>
      <c r="S29" s="2251" t="s">
        <v>438</v>
      </c>
      <c r="T29" s="2251"/>
      <c r="U29" s="1373"/>
      <c r="V29" s="2252" t="str">
        <f>IF(TITLE_NUMBER_PR_CHANGE="",IF(TITLE_NUMBER_PR="","",TITLE_NUMBER_PR),TITLE_NUMBER_PR_CHANGE)</f>
        <v>206Т</v>
      </c>
      <c r="W29" s="2252"/>
      <c r="X29" s="2252"/>
      <c r="Y29" s="2252"/>
      <c r="Z29" s="2252"/>
      <c r="AA29" s="2252"/>
      <c r="AB29" s="327"/>
      <c r="AC29" s="2252" t="str">
        <f>IF(TITLE_NUMBER_PR_CHANGE="",IF(TITLE_NUMBER_PR="","",TITLE_NUMBER_PR),TITLE_NUMBER_PR_CHANGE)</f>
        <v>206Т</v>
      </c>
      <c r="AD29" s="2252"/>
      <c r="AE29" s="2252"/>
      <c r="AF29" s="2252"/>
      <c r="AG29" s="2252"/>
      <c r="AH29" s="2252"/>
      <c r="AI29" s="327"/>
      <c r="AJ29" s="327"/>
      <c r="AK29" s="281"/>
      <c r="AL29" s="369"/>
      <c r="AM29" s="369"/>
      <c r="AN29" s="369"/>
      <c r="AO29" s="369"/>
      <c r="AP29" s="369"/>
      <c r="AQ29" s="419">
        <v>0</v>
      </c>
    </row>
    <row s="1854" customFormat="1" customHeight="1" ht="18.75" hidden="1">
      <c r="A30" s="1369"/>
      <c r="B30" s="1369"/>
      <c r="C30" s="1369"/>
      <c r="D30" s="1369"/>
      <c r="E30" s="1369"/>
      <c r="F30" s="1369"/>
      <c r="G30" s="1369"/>
      <c r="H30" s="1369"/>
      <c r="I30" s="1369"/>
      <c r="J30" s="1369"/>
      <c r="K30" s="1369"/>
      <c r="L30" s="1370"/>
      <c r="M30" s="1369"/>
      <c r="N30" s="1369"/>
      <c r="O30" s="1369"/>
      <c r="S30" s="2251" t="s">
        <v>43</v>
      </c>
      <c r="T30" s="2251"/>
      <c r="U30" s="1373"/>
      <c r="V30" s="2252" t="str">
        <f>IF(TITLE_IST_PUB_CHANGE="",IF(TITLE_IST_PUB="","",TITLE_IST_PUB),TITLE_IST_PUB_CHANGE)</f>
        <v/>
      </c>
      <c r="W30" s="2252"/>
      <c r="X30" s="2252"/>
      <c r="Y30" s="2252"/>
      <c r="Z30" s="2252"/>
      <c r="AA30" s="2252"/>
      <c r="AB30" s="327"/>
      <c r="AC30" s="2252" t="str">
        <f>IF(TITLE_IST_PUB_CHANGE="",IF(TITLE_IST_PUB="","",TITLE_IST_PUB),TITLE_IST_PUB_CHANGE)</f>
        <v/>
      </c>
      <c r="AD30" s="2252"/>
      <c r="AE30" s="2252"/>
      <c r="AF30" s="2252"/>
      <c r="AG30" s="2252"/>
      <c r="AH30" s="2252"/>
      <c r="AI30" s="327"/>
      <c r="AJ30" s="327"/>
      <c r="AK30" s="281"/>
      <c r="AL30" s="369"/>
      <c r="AM30" s="369"/>
      <c r="AN30" s="369"/>
      <c r="AO30" s="369"/>
      <c r="AP30" s="369"/>
      <c r="AQ30" s="419">
        <v>0</v>
      </c>
    </row>
    <row customHeight="1" ht="14.25">
      <c r="Q31" s="377"/>
      <c r="R31" s="377"/>
      <c r="S31" s="1276"/>
      <c r="T31" s="364"/>
      <c r="U31" s="364"/>
      <c r="V31" s="323"/>
      <c r="W31" s="323"/>
      <c r="X31" s="323"/>
      <c r="Y31" s="323"/>
      <c r="Z31" s="323"/>
      <c r="AA31" s="323"/>
      <c r="AB31" s="323"/>
      <c r="AC31" s="323"/>
      <c r="AD31" s="323"/>
      <c r="AE31" s="323"/>
      <c r="AF31" s="323"/>
      <c r="AG31" s="323"/>
      <c r="AH31" s="323"/>
      <c r="AI31" s="323"/>
      <c r="AJ31" s="510"/>
      <c r="AQ31" s="1156">
        <v>0</v>
      </c>
    </row>
    <row s="1854" customFormat="1" customHeight="1" ht="18.75">
      <c r="A32" s="1369"/>
      <c r="B32" s="1369"/>
      <c r="C32" s="1369"/>
      <c r="D32" s="1369"/>
      <c r="E32" s="1369"/>
      <c r="F32" s="1369"/>
      <c r="G32" s="1369"/>
      <c r="H32" s="1369"/>
      <c r="I32" s="1369"/>
      <c r="J32" s="1369"/>
      <c r="K32" s="1369"/>
      <c r="L32" s="1370"/>
      <c r="M32" s="1369"/>
      <c r="N32" s="1369"/>
      <c r="O32" s="1369"/>
      <c r="S32" s="2251" t="s">
        <v>439</v>
      </c>
      <c r="T32" s="2251"/>
      <c r="U32" s="1373"/>
      <c r="V32" s="2265" t="str">
        <f>IF(TITLE_DATE_PR_CHANGE="",IF(TITLE_DATE_PR="","",TITLE_DATE_PR),TITLE_DATE_PR_CHANGE)</f>
        <v>46142</v>
      </c>
      <c r="W32" s="2265"/>
      <c r="X32" s="2265"/>
      <c r="Y32" s="2265"/>
      <c r="Z32" s="2265"/>
      <c r="AA32" s="2265"/>
      <c r="AB32" s="327"/>
      <c r="AC32" s="2265" t="str">
        <f>IF(TITLE_DATE_PR_CHANGE="",IF(TITLE_DATE_PR="","",TITLE_DATE_PR),TITLE_DATE_PR_CHANGE)</f>
        <v>46142</v>
      </c>
      <c r="AD32" s="2265"/>
      <c r="AE32" s="2265"/>
      <c r="AF32" s="2265"/>
      <c r="AG32" s="2265"/>
      <c r="AH32" s="2265"/>
      <c r="AI32" s="327"/>
      <c r="AJ32" s="327"/>
      <c r="AK32" s="281"/>
      <c r="AL32" s="369"/>
      <c r="AM32" s="369"/>
      <c r="AN32" s="369"/>
      <c r="AO32" s="369"/>
      <c r="AP32" s="369"/>
      <c r="AQ32" s="419">
        <v>0</v>
      </c>
    </row>
    <row s="1854" customFormat="1" customHeight="1" ht="18.75">
      <c r="A33" s="1369"/>
      <c r="B33" s="1369"/>
      <c r="C33" s="1369"/>
      <c r="D33" s="1369"/>
      <c r="E33" s="1369"/>
      <c r="F33" s="1369"/>
      <c r="G33" s="1369"/>
      <c r="H33" s="1369"/>
      <c r="I33" s="1369"/>
      <c r="J33" s="1369"/>
      <c r="K33" s="1369"/>
      <c r="L33" s="1370"/>
      <c r="M33" s="1369"/>
      <c r="N33" s="1369"/>
      <c r="O33" s="1369"/>
      <c r="S33" s="2251" t="s">
        <v>440</v>
      </c>
      <c r="T33" s="2251"/>
      <c r="U33" s="1373"/>
      <c r="V33" s="2252" t="str">
        <f>IF(TITLE_NUMBER_PR_CHANGE="",IF(TITLE_NUMBER_PR="","",TITLE_NUMBER_PR),TITLE_NUMBER_PR_CHANGE)</f>
        <v>206Т</v>
      </c>
      <c r="W33" s="2252"/>
      <c r="X33" s="2252"/>
      <c r="Y33" s="2252"/>
      <c r="Z33" s="2252"/>
      <c r="AA33" s="2252"/>
      <c r="AB33" s="327"/>
      <c r="AC33" s="2252" t="str">
        <f>IF(TITLE_NUMBER_PR_CHANGE="",IF(TITLE_NUMBER_PR="","",TITLE_NUMBER_PR),TITLE_NUMBER_PR_CHANGE)</f>
        <v>206Т</v>
      </c>
      <c r="AD33" s="2252"/>
      <c r="AE33" s="2252"/>
      <c r="AF33" s="2252"/>
      <c r="AG33" s="2252"/>
      <c r="AH33" s="2252"/>
      <c r="AI33" s="327"/>
      <c r="AJ33" s="327"/>
      <c r="AK33" s="281"/>
      <c r="AL33" s="369"/>
      <c r="AM33" s="369"/>
      <c r="AN33" s="369"/>
      <c r="AO33" s="369"/>
      <c r="AP33" s="369"/>
      <c r="AQ33" s="419">
        <v>0</v>
      </c>
    </row>
    <row s="1854" customFormat="1" customHeight="1" ht="1.05">
      <c r="A34" s="1369"/>
      <c r="B34" s="1369"/>
      <c r="C34" s="1369"/>
      <c r="D34" s="1369"/>
      <c r="E34" s="1369"/>
      <c r="F34" s="1369"/>
      <c r="G34" s="1369"/>
      <c r="H34" s="1369"/>
      <c r="I34" s="1369"/>
      <c r="J34" s="1369"/>
      <c r="K34" s="1369"/>
      <c r="L34" s="1370"/>
      <c r="M34" s="1369"/>
      <c r="N34" s="1369"/>
      <c r="O34" s="1369"/>
      <c r="S34" s="324"/>
      <c r="T34" s="324"/>
      <c r="U34" s="1455"/>
      <c r="V34" s="327"/>
      <c r="W34" s="327"/>
      <c r="X34" s="327"/>
      <c r="Y34" s="327"/>
      <c r="Z34" s="327"/>
      <c r="AA34" s="327"/>
      <c r="AB34" s="279" t="s">
        <v>441</v>
      </c>
      <c r="AC34" s="327"/>
      <c r="AD34" s="327"/>
      <c r="AE34" s="327"/>
      <c r="AF34" s="327"/>
      <c r="AG34" s="327"/>
      <c r="AH34" s="327"/>
      <c r="AI34" s="279" t="s">
        <v>441</v>
      </c>
      <c r="AL34" s="369"/>
      <c r="AM34" s="369"/>
      <c r="AN34" s="369"/>
      <c r="AO34" s="369"/>
      <c r="AP34" s="369"/>
      <c r="AQ34" s="419">
        <v>1</v>
      </c>
    </row>
    <row customHeight="1" ht="14.699999999999998">
      <c r="Q35" s="377"/>
      <c r="R35" s="377"/>
      <c r="S35" s="1276"/>
      <c r="T35" s="364"/>
      <c r="U35" s="1245"/>
      <c r="V35" s="2253"/>
      <c r="W35" s="2253"/>
      <c r="X35" s="2253"/>
      <c r="Y35" s="2253"/>
      <c r="Z35" s="2253"/>
      <c r="AA35" s="2253"/>
      <c r="AB35" s="2253"/>
      <c r="AC35" s="2253"/>
      <c r="AD35" s="2253"/>
      <c r="AE35" s="2253"/>
      <c r="AF35" s="2253"/>
      <c r="AG35" s="2253"/>
      <c r="AH35" s="2253"/>
      <c r="AI35" s="2253"/>
      <c r="AQ35" s="1156">
        <v>14</v>
      </c>
    </row>
    <row customHeight="1" ht="14.699999999999998">
      <c r="Q36" s="377"/>
      <c r="R36" s="377"/>
      <c r="S36" s="2128" t="s">
        <v>317</v>
      </c>
      <c r="T36" s="2128"/>
      <c r="U36" s="2128"/>
      <c r="V36" s="2128"/>
      <c r="W36" s="2128"/>
      <c r="X36" s="2128"/>
      <c r="Y36" s="2128"/>
      <c r="Z36" s="2128"/>
      <c r="AA36" s="2128"/>
      <c r="AB36" s="2128"/>
      <c r="AC36" s="2128"/>
      <c r="AD36" s="2128"/>
      <c r="AE36" s="2128"/>
      <c r="AF36" s="2128"/>
      <c r="AG36" s="2128"/>
      <c r="AH36" s="2128"/>
      <c r="AI36" s="2128"/>
      <c r="AJ36" s="2128"/>
      <c r="AK36" s="2128" t="s">
        <v>318</v>
      </c>
      <c r="AQ36" s="1156">
        <v>14</v>
      </c>
    </row>
    <row customHeight="1" ht="14.699999999999998">
      <c r="Q37" s="377"/>
      <c r="R37" s="377"/>
      <c r="S37" s="2274" t="s">
        <v>89</v>
      </c>
      <c r="T37" s="2210" t="s">
        <v>442</v>
      </c>
      <c r="U37" s="302"/>
      <c r="V37" s="2275" t="s">
        <v>443</v>
      </c>
      <c r="W37" s="2276"/>
      <c r="X37" s="2276"/>
      <c r="Y37" s="2276"/>
      <c r="Z37" s="2276"/>
      <c r="AA37" s="2277"/>
      <c r="AB37" s="2278" t="s">
        <v>444</v>
      </c>
      <c r="AC37" s="2275" t="s">
        <v>443</v>
      </c>
      <c r="AD37" s="2276"/>
      <c r="AE37" s="2276"/>
      <c r="AF37" s="2276"/>
      <c r="AG37" s="2276"/>
      <c r="AH37" s="2277"/>
      <c r="AI37" s="2278" t="s">
        <v>445</v>
      </c>
      <c r="AJ37" s="2281" t="s">
        <v>446</v>
      </c>
      <c r="AK37" s="2128"/>
      <c r="AQ37" s="1156">
        <v>14</v>
      </c>
    </row>
    <row customHeight="1" ht="35.699999999999996">
      <c r="Q38" s="377"/>
      <c r="R38" s="377"/>
      <c r="S38" s="2274"/>
      <c r="T38" s="2210"/>
      <c r="U38" s="1032"/>
      <c r="V38" s="1453" t="s">
        <v>508</v>
      </c>
      <c r="W38" s="2263" t="s">
        <v>449</v>
      </c>
      <c r="X38" s="2264"/>
      <c r="Y38" s="2263" t="s">
        <v>450</v>
      </c>
      <c r="Z38" s="2270"/>
      <c r="AA38" s="2264"/>
      <c r="AB38" s="2279"/>
      <c r="AC38" s="1453" t="s">
        <v>508</v>
      </c>
      <c r="AD38" s="2263" t="s">
        <v>449</v>
      </c>
      <c r="AE38" s="2264"/>
      <c r="AF38" s="2263" t="s">
        <v>450</v>
      </c>
      <c r="AG38" s="2270"/>
      <c r="AH38" s="2264"/>
      <c r="AI38" s="2279"/>
      <c r="AJ38" s="2282"/>
      <c r="AK38" s="2128"/>
      <c r="AQ38" s="1156">
        <v>34</v>
      </c>
    </row>
    <row customHeight="1" ht="35.699999999999996">
      <c r="A39" s="1371"/>
      <c r="B39" s="1371" t="s">
        <v>143</v>
      </c>
      <c r="C39" s="1371" t="s">
        <v>144</v>
      </c>
      <c r="D39" s="1371" t="s">
        <v>145</v>
      </c>
      <c r="E39" s="1365" t="s">
        <v>451</v>
      </c>
      <c r="F39" s="1365" t="s">
        <v>452</v>
      </c>
      <c r="G39" s="1365" t="s">
        <v>453</v>
      </c>
      <c r="H39" s="1365"/>
      <c r="I39" s="1365" t="s">
        <v>509</v>
      </c>
      <c r="J39" s="1365" t="s">
        <v>456</v>
      </c>
      <c r="K39" s="1365" t="s">
        <v>510</v>
      </c>
      <c r="L39" s="1365" t="s">
        <v>432</v>
      </c>
      <c r="Q39" s="377"/>
      <c r="R39" s="377"/>
      <c r="S39" s="2274"/>
      <c r="T39" s="2210"/>
      <c r="U39" s="303"/>
      <c r="V39" s="1453" t="s">
        <v>511</v>
      </c>
      <c r="W39" s="1223" t="s">
        <v>512</v>
      </c>
      <c r="X39" s="1223" t="s">
        <v>513</v>
      </c>
      <c r="Y39" s="1456" t="s">
        <v>460</v>
      </c>
      <c r="Z39" s="2271" t="s">
        <v>461</v>
      </c>
      <c r="AA39" s="2272"/>
      <c r="AB39" s="2280"/>
      <c r="AC39" s="1453" t="s">
        <v>511</v>
      </c>
      <c r="AD39" s="1223" t="s">
        <v>512</v>
      </c>
      <c r="AE39" s="1223" t="s">
        <v>513</v>
      </c>
      <c r="AF39" s="1456" t="s">
        <v>460</v>
      </c>
      <c r="AG39" s="2271" t="s">
        <v>461</v>
      </c>
      <c r="AH39" s="2272"/>
      <c r="AI39" s="2280"/>
      <c r="AJ39" s="2283"/>
      <c r="AK39" s="2128"/>
      <c r="AQ39" s="1156">
        <v>34</v>
      </c>
    </row>
    <row s="1642" customFormat="1" customHeight="1" ht="0">
      <c r="A40" s="1371"/>
      <c r="B40" s="1371"/>
      <c r="C40" s="1371"/>
      <c r="D40" s="1371"/>
      <c r="E40" s="1371"/>
      <c r="F40" s="1371"/>
      <c r="G40" s="1371"/>
      <c r="H40" s="1371"/>
      <c r="I40" s="1371"/>
      <c r="J40" s="1371"/>
      <c r="K40" s="1371"/>
      <c r="L40" s="1365"/>
      <c r="M40" s="1363"/>
      <c r="N40" s="1363"/>
      <c r="O40" s="1363"/>
      <c r="P40" s="1247"/>
      <c r="Q40" s="1248"/>
      <c r="R40" s="1255">
        <v>1</v>
      </c>
      <c r="S40" s="1278" t="s">
        <v>118</v>
      </c>
      <c r="T40" s="1256" t="s">
        <v>103</v>
      </c>
      <c r="U40" s="1246" t="str">
        <f>OFFSET(U40,0,-1)</f>
        <v>2</v>
      </c>
      <c r="V40" s="1452">
        <f>OFFSET(V40,0,-1)+1</f>
        <v>3</v>
      </c>
      <c r="W40" s="1452">
        <f>OFFSET(W40,0,-1)+1</f>
        <v>4</v>
      </c>
      <c r="X40" s="1452">
        <f>OFFSET(X40,0,-1)+1</f>
        <v>5</v>
      </c>
      <c r="Y40" s="1452">
        <f>OFFSET(Y40,0,-1)+1</f>
        <v>6</v>
      </c>
      <c r="Z40" s="2273">
        <f>OFFSET(Z40,0,-1)+1</f>
        <v>7</v>
      </c>
      <c r="AA40" s="2273"/>
      <c r="AB40" s="1452">
        <f>OFFSET(AB40,0,-2)+1</f>
        <v>8</v>
      </c>
      <c r="AC40" s="1452">
        <f>OFFSET(AC40,0,-1)+1</f>
        <v>9</v>
      </c>
      <c r="AD40" s="1452">
        <f>OFFSET(AD40,0,-1)+1</f>
        <v>10</v>
      </c>
      <c r="AE40" s="1452">
        <f>OFFSET(AE40,0,-1)+1</f>
        <v>11</v>
      </c>
      <c r="AF40" s="1452">
        <f>OFFSET(AF40,0,-1)+1</f>
        <v>12</v>
      </c>
      <c r="AG40" s="2273">
        <f>OFFSET(AG40,0,-1)+1</f>
        <v>13</v>
      </c>
      <c r="AH40" s="2273"/>
      <c r="AI40" s="1452">
        <f>OFFSET(AI40,0,-2)+1</f>
        <v>14</v>
      </c>
      <c r="AJ40" s="1246">
        <f>OFFSET(AJ40,0,-1)</f>
        <v>14</v>
      </c>
      <c r="AK40" s="1452">
        <f>OFFSET(AK40,0,-1)+1</f>
        <v>15</v>
      </c>
      <c r="AL40" s="512"/>
      <c r="AM40" s="512"/>
      <c r="AN40" s="512"/>
      <c r="AO40" s="512"/>
      <c r="AP40" s="512"/>
      <c r="AQ40" s="497">
        <v>0</v>
      </c>
    </row>
    <row customHeight="1" ht="24">
      <c r="A41" s="1364" t="s">
        <v>253</v>
      </c>
      <c r="B41" s="1364"/>
      <c r="C41" s="1364"/>
      <c r="D41" s="1364"/>
      <c r="E41" s="2259">
        <v>1</v>
      </c>
      <c r="F41" s="1364"/>
      <c r="G41" s="1364"/>
      <c r="H41" s="1364"/>
      <c r="I41" s="1364"/>
      <c r="J41" s="1364"/>
      <c r="K41" s="1364"/>
      <c r="L41" s="1365"/>
      <c r="M41" s="1366"/>
      <c r="N41" s="1366"/>
      <c r="O41" s="1366"/>
      <c r="P41" s="362"/>
      <c r="Q41" s="361"/>
      <c r="R41" s="356"/>
      <c r="S41" s="1458">
        <f>INDEX(PT_DIFFERENTIATION_NUM_NTAR,MATCH(A41,PT_DIFFERENTIATION_NTAR_ID,0))</f>
        <v>0</v>
      </c>
      <c r="T41" s="299" t="s">
        <v>131</v>
      </c>
      <c r="U41" s="301"/>
      <c r="V41" s="2243"/>
      <c r="W41" s="2244"/>
      <c r="X41" s="2244"/>
      <c r="Y41" s="2244"/>
      <c r="Z41" s="2244"/>
      <c r="AA41" s="2244"/>
      <c r="AB41" s="2245"/>
      <c r="AC41" s="2243" t="str">
        <f>INDEX(PT_DIFFERENTIATION_NTAR,MATCH(A41,PT_DIFFERENTIATION_NTAR_ID,0))</f>
        <v/>
      </c>
      <c r="AD41" s="2244"/>
      <c r="AE41" s="2244"/>
      <c r="AF41" s="2244"/>
      <c r="AG41" s="2244"/>
      <c r="AH41" s="2244"/>
      <c r="AI41" s="2244"/>
      <c r="AJ41" s="2245"/>
      <c r="AK41" s="1259"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M41" s="501"/>
      <c r="AN41" s="501" t="str">
        <f>IF(T41="","",T41)</f>
        <v>Наименование тарифа</v>
      </c>
      <c r="AO41" s="501"/>
      <c r="AP41" s="501"/>
      <c r="AQ41" s="1156">
        <v>23</v>
      </c>
    </row>
    <row customHeight="1" ht="24">
      <c r="A42" s="1364" t="s">
        <v>253</v>
      </c>
      <c r="B42" s="1364" t="s">
        <v>254</v>
      </c>
      <c r="C42" s="1364"/>
      <c r="D42" s="1364"/>
      <c r="E42" s="2260"/>
      <c r="F42" s="2259">
        <v>1</v>
      </c>
      <c r="G42" s="1364"/>
      <c r="H42" s="1364"/>
      <c r="I42" s="1364"/>
      <c r="J42" s="1364"/>
      <c r="K42" s="1364"/>
      <c r="L42" s="1365"/>
      <c r="M42" s="1366"/>
      <c r="N42" s="1366"/>
      <c r="O42" s="1366"/>
      <c r="P42" s="1454"/>
      <c r="Q42" s="353"/>
      <c r="R42" s="354"/>
      <c r="S42" s="1458" t="str">
        <f>INDEX(PT_DIFFERENTIATION_NUM_TER,MATCH(B42,PT_DIFFERENTIATION_TER_ID,0))</f>
        <v>.</v>
      </c>
      <c r="T42" s="309" t="s">
        <v>414</v>
      </c>
      <c r="U42" s="301"/>
      <c r="V42" s="2243"/>
      <c r="W42" s="2244"/>
      <c r="X42" s="2244"/>
      <c r="Y42" s="2244"/>
      <c r="Z42" s="2244"/>
      <c r="AA42" s="2244"/>
      <c r="AB42" s="2245"/>
      <c r="AC42" s="2243" t="str">
        <f>INDEX(PT_DIFFERENTIATION_TER,MATCH(B42,PT_DIFFERENTIATION_TER_ID,0))</f>
        <v/>
      </c>
      <c r="AD42" s="2244"/>
      <c r="AE42" s="2244"/>
      <c r="AF42" s="2244"/>
      <c r="AG42" s="2244"/>
      <c r="AH42" s="2244"/>
      <c r="AI42" s="2244"/>
      <c r="AJ42" s="2245"/>
      <c r="AK42" s="1259" t="s">
        <v>415</v>
      </c>
      <c r="AM42" s="501"/>
      <c r="AN42" s="501" t="str">
        <f>IF(T42="","",T42)</f>
        <v>Территория действия тарифа</v>
      </c>
      <c r="AO42" s="501"/>
      <c r="AP42" s="501"/>
      <c r="AQ42" s="1156">
        <v>23</v>
      </c>
    </row>
    <row customHeight="1" ht="24">
      <c r="A43" s="1364" t="s">
        <v>253</v>
      </c>
      <c r="B43" s="1364" t="s">
        <v>254</v>
      </c>
      <c r="C43" s="1364" t="s">
        <v>255</v>
      </c>
      <c r="D43" s="1364"/>
      <c r="E43" s="2260"/>
      <c r="F43" s="2260"/>
      <c r="G43" s="2259">
        <v>1</v>
      </c>
      <c r="H43" s="1364"/>
      <c r="I43" s="1364"/>
      <c r="J43" s="1364"/>
      <c r="K43" s="1364"/>
      <c r="L43" s="1365"/>
      <c r="M43" s="1366"/>
      <c r="N43" s="1366"/>
      <c r="O43" s="1366"/>
      <c r="P43" s="355"/>
      <c r="Q43" s="353"/>
      <c r="R43" s="354"/>
      <c r="S43" s="1458" t="str">
        <f>INDEX(PT_DIFFERENTIATION_NUM_CS,MATCH(C43,PT_DIFFERENTIATION_CS_ID,0))</f>
        <v>..</v>
      </c>
      <c r="T43" s="310" t="s">
        <v>500</v>
      </c>
      <c r="U43" s="301"/>
      <c r="V43" s="2243"/>
      <c r="W43" s="2244"/>
      <c r="X43" s="2244"/>
      <c r="Y43" s="2244"/>
      <c r="Z43" s="2244"/>
      <c r="AA43" s="2244"/>
      <c r="AB43" s="2245"/>
      <c r="AC43" s="2243" t="str">
        <f>INDEX(PT_DIFFERENTIATION_CS,MATCH(C43,PT_DIFFERENTIATION_CS_ID,0))</f>
        <v/>
      </c>
      <c r="AD43" s="2244"/>
      <c r="AE43" s="2244"/>
      <c r="AF43" s="2244"/>
      <c r="AG43" s="2244"/>
      <c r="AH43" s="2244"/>
      <c r="AI43" s="2244"/>
      <c r="AJ43" s="2245"/>
      <c r="AK43" s="1259" t="s">
        <v>501</v>
      </c>
      <c r="AM43" s="501"/>
      <c r="AN43" s="501" t="str">
        <f>IF(T43="","",T43)</f>
        <v>Наименование централизованной системы холодного водоснабжения</v>
      </c>
      <c r="AO43" s="501"/>
      <c r="AP43" s="501"/>
      <c r="AQ43" s="1156">
        <v>23</v>
      </c>
    </row>
    <row customHeight="1" ht="24">
      <c r="A44" s="1364" t="s">
        <v>253</v>
      </c>
      <c r="B44" s="1364" t="s">
        <v>254</v>
      </c>
      <c r="C44" s="1364" t="s">
        <v>255</v>
      </c>
      <c r="D44" s="1364" t="s">
        <v>516</v>
      </c>
      <c r="E44" s="2260"/>
      <c r="F44" s="2260"/>
      <c r="G44" s="2260"/>
      <c r="H44" s="2260"/>
      <c r="I44" s="2257" t="str">
        <f>S43&amp;".1"</f>
        <v>...1</v>
      </c>
      <c r="J44" s="1364"/>
      <c r="K44" s="1364"/>
      <c r="L44" s="1365"/>
      <c r="P44" s="2258">
        <v>1</v>
      </c>
      <c r="Q44" s="1451"/>
      <c r="R44" s="357"/>
      <c r="S44" s="1458" t="str">
        <f>$I44</f>
        <v>...1</v>
      </c>
      <c r="T44" s="286" t="s">
        <v>502</v>
      </c>
      <c r="U44" s="301"/>
      <c r="V44" s="2351"/>
      <c r="W44" s="2352"/>
      <c r="X44" s="2352"/>
      <c r="Y44" s="2352"/>
      <c r="Z44" s="2352"/>
      <c r="AA44" s="2352"/>
      <c r="AB44" s="2353"/>
      <c r="AC44" s="2354"/>
      <c r="AD44" s="2355"/>
      <c r="AE44" s="2355"/>
      <c r="AF44" s="2355"/>
      <c r="AG44" s="2355"/>
      <c r="AH44" s="2355"/>
      <c r="AI44" s="2355"/>
      <c r="AJ44" s="2356"/>
      <c r="AK44" s="1259" t="s">
        <v>503</v>
      </c>
      <c r="AM44" s="501"/>
      <c r="AN44" s="501" t="str">
        <f>IF(T44="","",T44)</f>
        <v>Наименование признака дифференциации</v>
      </c>
      <c r="AO44" s="501"/>
      <c r="AP44" s="501"/>
      <c r="AQ44" s="1156">
        <v>23</v>
      </c>
    </row>
    <row customHeight="1" ht="24">
      <c r="A45" s="1364" t="s">
        <v>253</v>
      </c>
      <c r="B45" s="1364" t="s">
        <v>254</v>
      </c>
      <c r="C45" s="1364" t="s">
        <v>255</v>
      </c>
      <c r="D45" s="1364" t="s">
        <v>516</v>
      </c>
      <c r="E45" s="2260"/>
      <c r="F45" s="2260"/>
      <c r="G45" s="2260"/>
      <c r="H45" s="2260"/>
      <c r="I45" s="2287"/>
      <c r="J45" s="2257" t="str">
        <f>I44&amp;".1"</f>
        <v>...1.1</v>
      </c>
      <c r="K45" s="1364"/>
      <c r="L45" s="1365" t="s">
        <v>423</v>
      </c>
      <c r="P45" s="2258"/>
      <c r="Q45" s="2258">
        <v>1</v>
      </c>
      <c r="R45" s="358"/>
      <c r="S45" s="1458" t="str">
        <f>$J45</f>
        <v>...1.1</v>
      </c>
      <c r="T45" s="287" t="s">
        <v>424</v>
      </c>
      <c r="U45" s="301"/>
      <c r="V45" s="2246"/>
      <c r="W45" s="2247"/>
      <c r="X45" s="2247"/>
      <c r="Y45" s="2247"/>
      <c r="Z45" s="2247"/>
      <c r="AA45" s="2247"/>
      <c r="AB45" s="2248"/>
      <c r="AC45" s="2246"/>
      <c r="AD45" s="2247"/>
      <c r="AE45" s="2247"/>
      <c r="AF45" s="2247"/>
      <c r="AG45" s="2247"/>
      <c r="AH45" s="2247"/>
      <c r="AI45" s="2247"/>
      <c r="AJ45" s="2248"/>
      <c r="AK45" s="1308" t="s">
        <v>504</v>
      </c>
      <c r="AM45" s="501"/>
      <c r="AN45" s="501" t="str">
        <f>IF(T45="","",T45)</f>
        <v>Группа потребителей</v>
      </c>
      <c r="AO45" s="501"/>
      <c r="AP45" s="501"/>
      <c r="AQ45" s="1156">
        <v>23</v>
      </c>
    </row>
    <row customHeight="1" ht="24">
      <c r="A46" s="1364" t="s">
        <v>253</v>
      </c>
      <c r="B46" s="1364" t="s">
        <v>254</v>
      </c>
      <c r="C46" s="1364" t="s">
        <v>255</v>
      </c>
      <c r="D46" s="1364" t="s">
        <v>516</v>
      </c>
      <c r="E46" s="2260"/>
      <c r="F46" s="2260"/>
      <c r="G46" s="2260"/>
      <c r="H46" s="2260"/>
      <c r="I46" s="2287"/>
      <c r="J46" s="2287"/>
      <c r="K46" s="2257" t="str">
        <f>J45&amp;".1"</f>
        <v>...1.1.1</v>
      </c>
      <c r="L46" s="1365"/>
      <c r="P46" s="2258"/>
      <c r="Q46" s="2258"/>
      <c r="R46" s="358">
        <v>1</v>
      </c>
      <c r="S46" s="1458" t="str">
        <f>$K46</f>
        <v>...1.1.1</v>
      </c>
      <c r="T46" s="1438"/>
      <c r="U46" s="301"/>
      <c r="V46" s="752"/>
      <c r="W46" s="752"/>
      <c r="X46" s="1258"/>
      <c r="Y46" s="2266"/>
      <c r="Z46" s="2108" t="s">
        <v>61</v>
      </c>
      <c r="AA46" s="2266"/>
      <c r="AB46" s="2108" t="s">
        <v>61</v>
      </c>
      <c r="AC46" s="752"/>
      <c r="AD46" s="752"/>
      <c r="AE46" s="1258"/>
      <c r="AF46" s="2266"/>
      <c r="AG46" s="2108" t="s">
        <v>61</v>
      </c>
      <c r="AH46" s="2288"/>
      <c r="AI46" s="2108" t="s">
        <v>61</v>
      </c>
      <c r="AJ46" s="1439"/>
      <c r="AK46" s="2350"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46" s="512">
        <f>STRCHECKDATE(V47:AJ47)</f>
      </c>
      <c r="AM46" s="501"/>
      <c r="AN46" s="501" t="str">
        <f>IF(T46="","",T46)</f>
        <v/>
      </c>
      <c r="AO46" s="501"/>
      <c r="AP46" s="501"/>
      <c r="AQ46" s="1156">
        <v>23</v>
      </c>
    </row>
    <row customHeight="1" ht="0">
      <c r="A47" s="1364" t="s">
        <v>253</v>
      </c>
      <c r="B47" s="1364" t="s">
        <v>254</v>
      </c>
      <c r="C47" s="1364" t="s">
        <v>255</v>
      </c>
      <c r="D47" s="1364" t="s">
        <v>516</v>
      </c>
      <c r="E47" s="2260"/>
      <c r="F47" s="2260"/>
      <c r="G47" s="2260"/>
      <c r="H47" s="2260"/>
      <c r="I47" s="2287"/>
      <c r="J47" s="2287"/>
      <c r="K47" s="2257"/>
      <c r="L47" s="1365"/>
      <c r="P47" s="2258"/>
      <c r="Q47" s="2258"/>
      <c r="R47" s="358"/>
      <c r="S47" s="1457"/>
      <c r="T47" s="301"/>
      <c r="U47" s="301"/>
      <c r="V47" s="326"/>
      <c r="W47" s="326"/>
      <c r="X47" s="329" t="str">
        <f>Y46&amp;"-"&amp;AA46</f>
        <v>-</v>
      </c>
      <c r="Y47" s="2267"/>
      <c r="Z47" s="2108"/>
      <c r="AA47" s="2267"/>
      <c r="AB47" s="2108"/>
      <c r="AC47" s="326"/>
      <c r="AD47" s="326"/>
      <c r="AE47" s="329" t="str">
        <f>AF46&amp;"-"&amp;AH46</f>
        <v>-</v>
      </c>
      <c r="AF47" s="2267"/>
      <c r="AG47" s="2108"/>
      <c r="AH47" s="2289"/>
      <c r="AI47" s="2108"/>
      <c r="AJ47" s="1440"/>
      <c r="AK47" s="2350"/>
      <c r="AM47" s="501"/>
      <c r="AN47" s="501" t="str">
        <f>IF(T47="","",T47)</f>
        <v/>
      </c>
      <c r="AO47" s="501"/>
      <c r="AP47" s="501"/>
      <c r="AQ47" s="1156">
        <v>0</v>
      </c>
    </row>
    <row customHeight="1" ht="21">
      <c r="A48" s="1364" t="s">
        <v>253</v>
      </c>
      <c r="B48" s="1364" t="s">
        <v>254</v>
      </c>
      <c r="C48" s="1364" t="s">
        <v>255</v>
      </c>
      <c r="D48" s="1364" t="s">
        <v>516</v>
      </c>
      <c r="E48" s="2260"/>
      <c r="F48" s="2260"/>
      <c r="G48" s="2260"/>
      <c r="H48" s="2260"/>
      <c r="I48" s="2287"/>
      <c r="J48" s="2257"/>
      <c r="K48" s="1364"/>
      <c r="L48" s="1365"/>
      <c r="P48" s="2258"/>
      <c r="Q48" s="2258"/>
      <c r="R48" s="357"/>
      <c r="S48" s="1279"/>
      <c r="T48" s="288" t="s">
        <v>505</v>
      </c>
      <c r="U48" s="368"/>
      <c r="V48" s="368"/>
      <c r="W48" s="368"/>
      <c r="X48" s="368"/>
      <c r="Y48" s="368"/>
      <c r="Z48" s="368"/>
      <c r="AA48" s="368"/>
      <c r="AB48" s="368"/>
      <c r="AC48" s="368"/>
      <c r="AD48" s="368"/>
      <c r="AE48" s="368"/>
      <c r="AF48" s="368"/>
      <c r="AG48" s="368"/>
      <c r="AH48" s="368"/>
      <c r="AI48" s="368"/>
      <c r="AJ48" s="368"/>
      <c r="AK48" s="1259" t="s">
        <v>506</v>
      </c>
      <c r="AM48" s="501"/>
      <c r="AN48" s="501" t="str">
        <f>IF(T48="","",T48)</f>
        <v>Добавить значение признака дифференциации</v>
      </c>
      <c r="AO48" s="501"/>
      <c r="AP48" s="501"/>
      <c r="AQ48" s="1156">
        <v>20</v>
      </c>
    </row>
    <row customHeight="1" ht="22.049999999999997">
      <c r="A49" s="1364" t="s">
        <v>253</v>
      </c>
      <c r="B49" s="1364" t="s">
        <v>254</v>
      </c>
      <c r="C49" s="1364" t="s">
        <v>255</v>
      </c>
      <c r="D49" s="1364" t="s">
        <v>516</v>
      </c>
      <c r="E49" s="2260"/>
      <c r="F49" s="2260"/>
      <c r="G49" s="2260"/>
      <c r="H49" s="2260"/>
      <c r="I49" s="2257"/>
      <c r="J49" s="1364"/>
      <c r="K49" s="1364"/>
      <c r="L49" s="1365"/>
      <c r="P49" s="2258"/>
      <c r="Q49" s="1451"/>
      <c r="R49" s="357"/>
      <c r="S49" s="1279"/>
      <c r="T49" s="366" t="s">
        <v>429</v>
      </c>
      <c r="U49" s="368"/>
      <c r="V49" s="368"/>
      <c r="W49" s="368"/>
      <c r="X49" s="368"/>
      <c r="Y49" s="368"/>
      <c r="Z49" s="368"/>
      <c r="AA49" s="368"/>
      <c r="AB49" s="367"/>
      <c r="AC49" s="368"/>
      <c r="AD49" s="368"/>
      <c r="AE49" s="368"/>
      <c r="AF49" s="368"/>
      <c r="AG49" s="368"/>
      <c r="AH49" s="368"/>
      <c r="AI49" s="367"/>
      <c r="AJ49" s="368"/>
      <c r="AK49" s="1441"/>
      <c r="AM49" s="501"/>
      <c r="AN49" s="501" t="str">
        <f>IF(T49="","",T49)</f>
        <v>Добавить группу потребителей</v>
      </c>
      <c r="AO49" s="501"/>
      <c r="AP49" s="501"/>
      <c r="AQ49" s="1156">
        <v>21</v>
      </c>
    </row>
    <row customHeight="1" ht="22.049999999999997">
      <c r="A50" s="1364" t="s">
        <v>253</v>
      </c>
      <c r="B50" s="1364" t="s">
        <v>254</v>
      </c>
      <c r="C50" s="1364" t="s">
        <v>255</v>
      </c>
      <c r="D50" s="1364" t="s">
        <v>516</v>
      </c>
      <c r="E50" s="2260"/>
      <c r="F50" s="2260"/>
      <c r="G50" s="2260"/>
      <c r="H50" s="2259"/>
      <c r="I50" s="1364"/>
      <c r="J50" s="1364"/>
      <c r="K50" s="1364"/>
      <c r="L50" s="1365"/>
      <c r="M50" s="1366"/>
      <c r="N50" s="1366"/>
      <c r="O50" s="538"/>
      <c r="P50" s="361"/>
      <c r="Q50" s="376"/>
      <c r="R50" s="356"/>
      <c r="S50" s="1279"/>
      <c r="T50" s="373" t="s">
        <v>507</v>
      </c>
      <c r="U50" s="368"/>
      <c r="V50" s="368"/>
      <c r="W50" s="368"/>
      <c r="X50" s="368"/>
      <c r="Y50" s="368"/>
      <c r="Z50" s="368"/>
      <c r="AA50" s="368"/>
      <c r="AB50" s="367"/>
      <c r="AC50" s="368"/>
      <c r="AD50" s="368"/>
      <c r="AE50" s="368"/>
      <c r="AF50" s="368"/>
      <c r="AG50" s="368"/>
      <c r="AH50" s="368"/>
      <c r="AI50" s="367"/>
      <c r="AJ50" s="368"/>
      <c r="AK50" s="304"/>
      <c r="AM50" s="501"/>
      <c r="AN50" s="501" t="str">
        <f>IF(T50="","",T50)</f>
        <v>Добавить наименование признака дифференциации</v>
      </c>
      <c r="AO50" s="501"/>
      <c r="AP50" s="501"/>
      <c r="AQ50" s="1156">
        <v>21</v>
      </c>
    </row>
    <row s="1643" customFormat="1" customHeight="1" ht="0">
      <c r="A51" s="1344" t="s">
        <v>253</v>
      </c>
      <c r="B51" s="1344" t="s">
        <v>254</v>
      </c>
      <c r="C51" s="1315"/>
      <c r="D51" s="1315"/>
      <c r="E51" s="2260"/>
      <c r="F51" s="2259"/>
      <c r="G51" s="1315"/>
      <c r="H51" s="1315"/>
      <c r="I51" s="1315"/>
      <c r="J51" s="1315"/>
      <c r="K51" s="1315"/>
      <c r="L51" s="1459"/>
      <c r="M51" s="1322"/>
      <c r="N51" s="1322"/>
      <c r="P51" s="1317"/>
      <c r="Q51" s="1318"/>
      <c r="R51" s="1317"/>
      <c r="S51" s="1323"/>
      <c r="T51" s="1326" t="s">
        <v>177</v>
      </c>
      <c r="U51" s="1325"/>
      <c r="V51" s="1325"/>
      <c r="W51" s="1325"/>
      <c r="X51" s="1325"/>
      <c r="Y51" s="1325"/>
      <c r="Z51" s="1325"/>
      <c r="AA51" s="1325"/>
      <c r="AB51" s="1325"/>
      <c r="AC51" s="1325"/>
      <c r="AD51" s="1325"/>
      <c r="AE51" s="1325"/>
      <c r="AF51" s="1325"/>
      <c r="AG51" s="1325"/>
      <c r="AH51" s="1325"/>
      <c r="AI51" s="1325"/>
      <c r="AJ51" s="1325"/>
      <c r="AK51" s="1325"/>
      <c r="AM51" s="790"/>
      <c r="AN51" s="790" t="str">
        <f>IF(T51="","",T51)</f>
        <v>Добавить централизованную систему для дифференциации</v>
      </c>
      <c r="AO51" s="790"/>
      <c r="AP51" s="790"/>
      <c r="AQ51" s="519">
        <v>0</v>
      </c>
    </row>
    <row s="1643" customFormat="1" customHeight="1" ht="0">
      <c r="A52" s="1344" t="s">
        <v>253</v>
      </c>
      <c r="B52" s="1344"/>
      <c r="C52" s="1344"/>
      <c r="D52" s="1344"/>
      <c r="E52" s="2259"/>
      <c r="F52" s="1344"/>
      <c r="G52" s="1344"/>
      <c r="H52" s="1344"/>
      <c r="I52" s="1344"/>
      <c r="J52" s="1344"/>
      <c r="K52" s="1344"/>
      <c r="L52" s="1347"/>
      <c r="M52" s="1322"/>
      <c r="N52" s="1322"/>
      <c r="O52" s="519"/>
      <c r="P52" s="381"/>
      <c r="Q52" s="1345"/>
      <c r="R52" s="381"/>
      <c r="S52" s="1323"/>
      <c r="T52" s="1326" t="s">
        <v>178</v>
      </c>
      <c r="U52" s="1325"/>
      <c r="V52" s="1325"/>
      <c r="W52" s="1325"/>
      <c r="X52" s="1325"/>
      <c r="Y52" s="1325"/>
      <c r="Z52" s="1325"/>
      <c r="AA52" s="1325"/>
      <c r="AB52" s="1325"/>
      <c r="AC52" s="1325"/>
      <c r="AD52" s="1325"/>
      <c r="AE52" s="1325"/>
      <c r="AF52" s="1325"/>
      <c r="AG52" s="1325"/>
      <c r="AH52" s="1325"/>
      <c r="AI52" s="1325"/>
      <c r="AJ52" s="1325"/>
      <c r="AK52" s="1325"/>
      <c r="AM52" s="501"/>
      <c r="AN52" s="501" t="str">
        <f>IF(T52="","",T52)</f>
        <v>Добавить территорию для дифференциации</v>
      </c>
      <c r="AO52" s="501"/>
      <c r="AP52" s="501"/>
      <c r="AQ52" s="512">
        <v>0</v>
      </c>
    </row>
    <row s="1643" customFormat="1" customHeight="1" ht="0">
      <c r="A53" s="1315"/>
      <c r="B53" s="1315"/>
      <c r="C53" s="1315"/>
      <c r="D53" s="1315"/>
      <c r="E53" s="1344"/>
      <c r="F53" s="1315"/>
      <c r="G53" s="1315"/>
      <c r="H53" s="1315"/>
      <c r="I53" s="1315"/>
      <c r="J53" s="1315"/>
      <c r="K53" s="1315"/>
      <c r="L53" s="1459"/>
      <c r="M53" s="1322"/>
      <c r="N53" s="1322"/>
      <c r="P53" s="1317"/>
      <c r="Q53" s="1318"/>
      <c r="R53" s="1317"/>
      <c r="S53" s="1323"/>
      <c r="T53" s="1326" t="s">
        <v>184</v>
      </c>
      <c r="U53" s="1325"/>
      <c r="V53" s="1325"/>
      <c r="W53" s="1325"/>
      <c r="X53" s="1325"/>
      <c r="Y53" s="1325"/>
      <c r="Z53" s="1325"/>
      <c r="AA53" s="1325"/>
      <c r="AB53" s="1325"/>
      <c r="AC53" s="1325"/>
      <c r="AD53" s="1325"/>
      <c r="AE53" s="1325"/>
      <c r="AF53" s="1325"/>
      <c r="AG53" s="1325"/>
      <c r="AH53" s="1325"/>
      <c r="AI53" s="1325"/>
      <c r="AJ53" s="1325"/>
      <c r="AK53" s="1325"/>
      <c r="AM53" s="790"/>
      <c r="AN53" s="790" t="str">
        <f>IF(T53="","",T53)</f>
        <v>Добавить наименование тарифа</v>
      </c>
      <c r="AO53" s="790"/>
      <c r="AP53" s="790"/>
      <c r="AQ53" s="519">
        <v>0</v>
      </c>
    </row>
    <row customHeight="1" ht="11.549999999999999">
      <c r="M54" s="1161"/>
      <c r="N54" s="1161"/>
      <c r="O54" s="538"/>
      <c r="P54" s="1156"/>
      <c r="Q54" s="1156"/>
      <c r="R54" s="1156"/>
      <c r="S54" s="1156"/>
      <c r="AL54" s="1156"/>
      <c r="AM54" s="1156"/>
      <c r="AN54" s="1156"/>
      <c r="AO54" s="1156"/>
      <c r="AP54" s="1156"/>
      <c r="AQ54" s="1156">
        <v>11</v>
      </c>
    </row>
    <row customHeight="1" ht="14.699999999999998">
      <c r="O55" s="538"/>
      <c r="S55" s="1254"/>
      <c r="T55" s="2286"/>
      <c r="U55" s="2286"/>
      <c r="V55" s="2286"/>
      <c r="W55" s="2286"/>
      <c r="X55" s="2286"/>
      <c r="Y55" s="2286"/>
      <c r="Z55" s="2286"/>
      <c r="AA55" s="2286"/>
      <c r="AB55" s="2286"/>
      <c r="AC55" s="2286"/>
      <c r="AD55" s="2286"/>
      <c r="AE55" s="2286"/>
      <c r="AF55" s="2286"/>
      <c r="AG55" s="2286"/>
      <c r="AH55" s="2286"/>
      <c r="AI55" s="2286"/>
      <c r="AJ55" s="2286"/>
      <c r="AK55" s="2286"/>
      <c r="AQ55" s="1156">
        <v>14</v>
      </c>
    </row>
    <row customHeight="1" ht="14.699999999999998">
      <c r="O56" s="538"/>
      <c r="AQ56" s="1156">
        <v>14</v>
      </c>
    </row>
    <row customHeight="1" ht="14.699999999999998">
      <c r="O57" s="538"/>
      <c r="S57" s="1254"/>
      <c r="T57" s="2286"/>
      <c r="U57" s="2286"/>
      <c r="V57" s="2286"/>
      <c r="W57" s="2286"/>
      <c r="X57" s="2286"/>
      <c r="Y57" s="2286"/>
      <c r="Z57" s="2286"/>
      <c r="AA57" s="2286"/>
      <c r="AB57" s="2286"/>
      <c r="AC57" s="2286"/>
      <c r="AD57" s="2286"/>
      <c r="AE57" s="2286"/>
      <c r="AF57" s="2286"/>
      <c r="AG57" s="2286"/>
      <c r="AH57" s="2286"/>
      <c r="AI57" s="2286"/>
      <c r="AJ57" s="2286"/>
      <c r="AK57" s="2286"/>
      <c r="AQ57" s="1156">
        <v>14</v>
      </c>
    </row>
    <row customHeight="1" ht="22.5" hidden="1">
      <c r="A58" s="1161" t="s">
        <v>83</v>
      </c>
      <c r="B58" s="1161">
        <v>0</v>
      </c>
      <c r="C58" s="1161">
        <v>0</v>
      </c>
      <c r="D58" s="1161">
        <v>0</v>
      </c>
      <c r="E58" s="1161">
        <v>0</v>
      </c>
      <c r="F58" s="1161">
        <v>0</v>
      </c>
      <c r="G58" s="1161">
        <v>0</v>
      </c>
      <c r="H58" s="1161">
        <v>0</v>
      </c>
      <c r="I58" s="1161">
        <v>0</v>
      </c>
      <c r="J58" s="1161">
        <v>0</v>
      </c>
      <c r="K58" s="1161">
        <v>0</v>
      </c>
      <c r="L58" s="1448">
        <v>0</v>
      </c>
      <c r="M58" s="1363">
        <v>0</v>
      </c>
      <c r="N58" s="1363">
        <v>0</v>
      </c>
      <c r="O58" s="1363">
        <v>0</v>
      </c>
      <c r="P58" s="1447">
        <v>3</v>
      </c>
      <c r="Q58" s="345">
        <v>3</v>
      </c>
      <c r="R58" s="345">
        <v>3</v>
      </c>
      <c r="S58" s="582">
        <v>12</v>
      </c>
      <c r="T58" s="1156">
        <v>35</v>
      </c>
      <c r="U58" s="1156">
        <v>0</v>
      </c>
      <c r="V58" s="1156">
        <v>0</v>
      </c>
      <c r="W58" s="1156">
        <v>0</v>
      </c>
      <c r="X58" s="1156">
        <v>0</v>
      </c>
      <c r="Y58" s="1156">
        <v>0</v>
      </c>
      <c r="Z58" s="1156">
        <v>0</v>
      </c>
      <c r="AA58" s="1156">
        <v>0</v>
      </c>
      <c r="AB58" s="1156">
        <v>0</v>
      </c>
      <c r="AC58" s="1156">
        <v>24</v>
      </c>
      <c r="AD58" s="1156">
        <v>24</v>
      </c>
      <c r="AE58" s="1156">
        <v>24</v>
      </c>
      <c r="AF58" s="1156">
        <v>11</v>
      </c>
      <c r="AG58" s="1156">
        <v>3</v>
      </c>
      <c r="AH58" s="1156">
        <v>11</v>
      </c>
      <c r="AI58" s="1156">
        <v>0</v>
      </c>
      <c r="AJ58" s="1156">
        <v>4</v>
      </c>
      <c r="AK58" s="1156">
        <v>115</v>
      </c>
      <c r="AL58" s="512">
        <v>10</v>
      </c>
      <c r="AM58" s="512">
        <v>10</v>
      </c>
      <c r="AN58" s="512">
        <v>10</v>
      </c>
      <c r="AO58" s="512">
        <v>10</v>
      </c>
      <c r="AP58" s="512">
        <v>10</v>
      </c>
      <c r="AQ58" s="1156">
        <v>23</v>
      </c>
    </row>
  </sheetData>
  <sheetProtection formatColumns="0" formatRows="0" autoFilter="0" sort="0" insertRows="0" insertColumns="1" deleteRows="0" deleteColumns="0"/>
  <mergeCells count="101">
    <mergeCell ref="AK46:AK47"/>
    <mergeCell ref="T55:AK55"/>
    <mergeCell ref="T57:AK57"/>
    <mergeCell ref="K46:K47"/>
    <mergeCell ref="Y46:Y47"/>
    <mergeCell ref="Z46:Z47"/>
    <mergeCell ref="AA46:AA47"/>
    <mergeCell ref="AB46:AB47"/>
    <mergeCell ref="AF46:AF47"/>
    <mergeCell ref="Z40:AA40"/>
    <mergeCell ref="AG40:AH40"/>
    <mergeCell ref="E41:E52"/>
    <mergeCell ref="V41:AB41"/>
    <mergeCell ref="AC41:AJ41"/>
    <mergeCell ref="F42:F51"/>
    <mergeCell ref="V42:AB42"/>
    <mergeCell ref="AC42:AJ42"/>
    <mergeCell ref="G43:G50"/>
    <mergeCell ref="V43:AB43"/>
    <mergeCell ref="AC43:AJ43"/>
    <mergeCell ref="H44:H50"/>
    <mergeCell ref="I44:I49"/>
    <mergeCell ref="P44:P49"/>
    <mergeCell ref="V44:AB44"/>
    <mergeCell ref="AC44:AJ44"/>
    <mergeCell ref="J45:J48"/>
    <mergeCell ref="Q45:Q48"/>
    <mergeCell ref="V45:AB45"/>
    <mergeCell ref="AC45:AJ45"/>
    <mergeCell ref="AG46:AG47"/>
    <mergeCell ref="AH46:AH47"/>
    <mergeCell ref="AI46:AI47"/>
    <mergeCell ref="AK36:AK39"/>
    <mergeCell ref="S37:S39"/>
    <mergeCell ref="T37:T39"/>
    <mergeCell ref="V37:AA37"/>
    <mergeCell ref="AB37:AB39"/>
    <mergeCell ref="AC37:AH37"/>
    <mergeCell ref="AI37:AI39"/>
    <mergeCell ref="S32:T32"/>
    <mergeCell ref="V32:AA32"/>
    <mergeCell ref="AC32:AH32"/>
    <mergeCell ref="S33:T33"/>
    <mergeCell ref="V33:AA33"/>
    <mergeCell ref="AC33:AH33"/>
    <mergeCell ref="AJ37:AJ39"/>
    <mergeCell ref="W38:X38"/>
    <mergeCell ref="Y38:AA38"/>
    <mergeCell ref="AD38:AE38"/>
    <mergeCell ref="AF38:AH38"/>
    <mergeCell ref="Z39:AA39"/>
    <mergeCell ref="AG39:AH39"/>
    <mergeCell ref="V35:AB35"/>
    <mergeCell ref="AC35:AI35"/>
    <mergeCell ref="S36:AJ36"/>
    <mergeCell ref="S29:T29"/>
    <mergeCell ref="V29:AA29"/>
    <mergeCell ref="AC29:AH29"/>
    <mergeCell ref="S30:T30"/>
    <mergeCell ref="V30:AA30"/>
    <mergeCell ref="AC30:AH30"/>
    <mergeCell ref="S24:AH24"/>
    <mergeCell ref="S25:AH25"/>
    <mergeCell ref="S27:T27"/>
    <mergeCell ref="V27:AA27"/>
    <mergeCell ref="AC27:AH27"/>
    <mergeCell ref="S28:T28"/>
    <mergeCell ref="V28:AA28"/>
    <mergeCell ref="AC28:AH28"/>
    <mergeCell ref="AK7:AK8"/>
    <mergeCell ref="AF15:AF16"/>
    <mergeCell ref="AG15:AG16"/>
    <mergeCell ref="AH15:AH16"/>
    <mergeCell ref="AI15:AI16"/>
    <mergeCell ref="Z7:Z8"/>
    <mergeCell ref="AA7:AA8"/>
    <mergeCell ref="AB7:AB8"/>
    <mergeCell ref="AF7:AF8"/>
    <mergeCell ref="AG7:AG8"/>
    <mergeCell ref="AH7:AH8"/>
    <mergeCell ref="E2:E13"/>
    <mergeCell ref="V2:AB2"/>
    <mergeCell ref="AC2:AJ2"/>
    <mergeCell ref="F3:F12"/>
    <mergeCell ref="V3:AB3"/>
    <mergeCell ref="AC3:AJ3"/>
    <mergeCell ref="G4:G11"/>
    <mergeCell ref="V4:AB4"/>
    <mergeCell ref="AC4:AJ4"/>
    <mergeCell ref="H5:H11"/>
    <mergeCell ref="I5:I10"/>
    <mergeCell ref="P5:P10"/>
    <mergeCell ref="V5:AB5"/>
    <mergeCell ref="AC5:AJ5"/>
    <mergeCell ref="J6:J9"/>
    <mergeCell ref="Q6:Q9"/>
    <mergeCell ref="V6:AB6"/>
    <mergeCell ref="AC6:AJ6"/>
    <mergeCell ref="K7:K8"/>
    <mergeCell ref="Y7:Y8"/>
    <mergeCell ref="AI7:AI8"/>
  </mergeCells>
  <dataValidations count="8">
    <dataValidation allowBlank="1" promptTitle="checkPeriodRange" sqref="X65579 X131115 X196651 X262187 X327723 X393259 X458795 X524331 X589867 X655403 X720939 X786475 X852011 X917547 X983083 AE16 AE65579 AE131115 AE196651 AE262187 AE327723 AE393259 AE458795 AE524331 AE589867 AE655403 AE720939 AE786475 AE852011 AE917547 AE983083 X47 AE8 X8 AE47"/>
    <dataValidation type="list" allowBlank="1" showInputMessage="1" showErrorMessage="1" errorTitle="Ошибка" error="Выберите значение из списка" sqref="V983080 V65576 V131112 V196648 V262184 V327720 V393256 V458792 V524328 V589864 V655400 V720936 V786472 V852008 V917544 AC983080 AC65576 AC131112 AC196648 AC262184 AC327720 AC393256 AC458792 AC524328 AC589864 AC655400 AC720936 AC786472 AC852008 AC917544">
      <formula1>kind_of_scheme_in</formula1>
    </dataValidation>
    <dataValidation type="textLength" operator="lessThanOrEqual" allowBlank="1" showInputMessage="1" showErrorMessage="1" errorTitle="Ошибка" error="Допускается ввод не более 900 символов!" sqref="AK65572:AK65579 AK131108:AK131115 AK196644:AK196651 AK262180:AK262187 AK327716:AK327723 AK393252:AK393259 AK458788:AK458795 AK524324:AK524331 AK589860:AK589867 AK655396:AK655403 AK720932:AK720939 AK786468:AK786475 AK852004:AK852011 AK917540:AK917547 AK983076:AK983083 T46 T7 AC44:AJ44 AC5:AJ5">
      <formula1>900</formula1>
    </dataValidation>
    <dataValidation type="list" allowBlank="1" showInputMessage="1" showErrorMessage="1" errorTitle="Ошибка" error="Выберите значение из списка" sqref="T65578 T131114 T196650 T262186 T327722 T393258 T458794 T524330 T589866 T655402 T720938 T786474 T852010 T917546 T983082">
      <formula1>kind_of_heat_transfer</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Y65578 Y131114 Y196650 Y262186 Y327722 Y393258 Y458794 Y524330 Y589866 Y655402 Y720938 Y786474 Y852010 Y917546 Y983082 AA65578 AA131114 AA196650 AA262186 AA327722 AA393258 AA458794 AA524330 AA589866 AA655402 AA720938 AA786474 AA852010 AA917546 AA983082 AF15 AF65578 AF131114 AF196650 AF262186 AF327722 AF393258 AF458794 AF524330 AF589866 AF655402 AF720938 AF786474 AF852010 AF917546 AF983082 AH65578 AH131114 AH196650 AH262186 AH327722 AH393258 AH458794 AH524330 AH589866 AH655402 AH720938 AH786474 AH852010 AH917546 AH983082 AH46 AF46 AH15 Y46 AA46 AH7 AF7 Y7 AA7"/>
    <dataValidation allowBlank="1" showInputMessage="1" showErrorMessage="1" prompt="Для выбора выполните двойной щелчок левой клавиши мыши по соответствующей ячейке." sqref="Z65578 Z131114 Z196650 Z262186 Z327722 Z393258 Z458794 Z524330 Z589866 Z655402 Z720938 Z786474 Z852010 Z917546 Z983082 AB131114 AB458794 AB196650 AB262186 AB327722 AB393258 AB524330 AB589866 AB655402 AB720938 AB786474 AB852010 AB917546 AB983082 AB65578 AG65578 AG131114 AG196650 AG262186 AG327722 AG393258 AG458794 AG524330 AG589866 AG655402 AG720938 AG786474 AG852010 AG917546 AG983082 AI46 AI524330 AI196650 AI589866 AI655402 AI15 AI720938 AI786474 AI852010 AI917546 AI983082 AI65578 AI131114 AI458794 AI262186 AG46 AI7 Z46 AB46 AG15 AG7 Z7 AB7 AI327722 AI393258"/>
    <dataValidation allowBlank="1" sqref="S131116:AK131122 S196652:AK196658 S262188:AK262194 S327724:AK327730 S393260:AK393266 S458796:AK458802 S524332:AK524338 S589868:AK589874 S655404:AK655410 S720940:AK720946 S786476:AK786482 S852012:AK852018 S917548:AK917554 S983084:AK983090 S65580:AK65586"/>
    <dataValidation type="list" allowBlank="1" showInputMessage="1" errorTitle="Ошибка" error="Выберите значение из списка" prompt="Выберите значение из списка" sqref="V983081:AJ983081 V65577:AJ65577 V131113:AJ131113 V196649:AJ196649 V262185:AJ262185 V327721:AJ327721 V393257:AJ393257 V458793:AJ458793 V524329:AJ524329 V589865:AJ589865 V655401:AJ655401 V720937:AJ720937 V786473:AJ786473 V852009:AJ852009 V917545:AJ917545">
      <formula1>kind_of_cons</formula1>
    </dataValidation>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0D1E7C48-CDE3-749B-8596-98F7975F3CC8}" mc:Ignorable="x14ac xr xr2 xr3">
  <sheetPr>
    <tabColor theme="6" tint="0.4"/>
  </sheetPr>
  <dimension ref="A1:AQ58"/>
  <sheetViews>
    <sheetView showGridLines="0" zoomScale="90" workbookViewId="0">
      <pane xSplit="28" ySplit="40" topLeftCell="AC41" activePane="bottomRight" state="frozen"/>
      <selection pane="bottomLeft" activeCell="A41" sqref="A41"/>
      <selection pane="topRight" activeCell="AC1" sqref="AC1"/>
      <selection pane="bottomRight" activeCell="A1" sqref="A1"/>
    </sheetView>
  </sheetViews>
  <sheetFormatPr defaultColWidth="10.57421875" customHeight="1" defaultRowHeight="14.25"/>
  <cols>
    <col min="1" max="1" style="1367" width="10.57421875" hidden="1"/>
    <col min="2" max="2" style="1367" width="11.00390625" hidden="1" customWidth="1"/>
    <col min="3" max="3" style="1367" width="10.57421875" hidden="1"/>
    <col min="4" max="4" style="1367" width="11.8515625" hidden="1" customWidth="1"/>
    <col min="5" max="5" style="1367" width="10.00390625" hidden="1" customWidth="1"/>
    <col min="6" max="6" style="1367" width="8.7109375" hidden="1" customWidth="1"/>
    <col min="7" max="7" style="1367" width="7.57421875" hidden="1" customWidth="1"/>
    <col min="8" max="8" style="1367" width="11.421875" hidden="1" customWidth="1"/>
    <col min="9" max="9" style="1367" width="14.140625" hidden="1" customWidth="1"/>
    <col min="10" max="10" style="1367" width="9.8515625" hidden="1" customWidth="1"/>
    <col min="11" max="11" style="1367" width="14.7109375" hidden="1" customWidth="1"/>
    <col min="12" max="12" style="2608" width="19.140625" hidden="1" customWidth="1"/>
    <col min="13" max="14" style="1777" width="12.28125" hidden="1" customWidth="1"/>
    <col min="15" max="15" style="1777" width="23.421875" hidden="1" customWidth="1"/>
    <col min="16" max="16" style="2398" width="3.00390625" customWidth="1"/>
    <col min="17" max="18" style="345" width="3.00390625" customWidth="1"/>
    <col min="19" max="19" style="2408" width="12.00390625" customWidth="1"/>
    <col min="20" max="20" style="1636" width="35.00390625" customWidth="1"/>
    <col min="21" max="21" style="1636" width="0.140625" customWidth="1"/>
    <col min="22" max="24" style="1636" width="24.7109375" hidden="1" customWidth="1"/>
    <col min="25" max="25" style="1636" width="11.7109375" hidden="1" customWidth="1"/>
    <col min="26" max="26" style="1636" width="3.7109375" hidden="1" customWidth="1"/>
    <col min="27" max="27" style="1636" width="11.7109375" hidden="1" customWidth="1"/>
    <col min="28" max="28" style="1636" width="8.57421875" hidden="1" customWidth="1"/>
    <col min="29" max="29" style="1636" width="24.7109375" customWidth="1"/>
    <col min="30" max="31" style="1636" width="24.00390625" customWidth="1"/>
    <col min="32" max="32" style="1636" width="11.00390625" customWidth="1"/>
    <col min="33" max="33" style="1636" width="3.7109375" customWidth="1"/>
    <col min="34" max="34" style="1636" width="11.00390625" customWidth="1"/>
    <col min="35" max="35" style="1636" width="8.57421875" hidden="1" customWidth="1"/>
    <col min="36" max="36" style="1636" width="4.00390625" customWidth="1"/>
    <col min="37" max="37" style="1636" width="115.00390625" customWidth="1"/>
    <col min="38" max="42" style="1643" width="10.00390625" customWidth="1"/>
    <col min="43" max="43" style="1636" width="10.57421875" hidden="1"/>
  </cols>
  <sheetData>
    <row customHeight="1" ht="22.5" hidden="1">
      <c r="X1" s="328"/>
      <c r="Y1" s="328"/>
      <c r="AE1" s="328"/>
      <c r="AF1" s="328"/>
      <c r="AQ1" s="1156" t="s">
        <v>14</v>
      </c>
    </row>
    <row customHeight="1" ht="23.25" hidden="1">
      <c r="A2" s="1364"/>
      <c r="B2" s="1364"/>
      <c r="C2" s="1364"/>
      <c r="D2" s="1364"/>
      <c r="E2" s="2259">
        <v>1</v>
      </c>
      <c r="F2" s="1364"/>
      <c r="G2" s="1364"/>
      <c r="H2" s="1364"/>
      <c r="I2" s="1364"/>
      <c r="J2" s="1364"/>
      <c r="K2" s="1364"/>
      <c r="L2" s="1365"/>
      <c r="M2" s="1366"/>
      <c r="N2" s="1366"/>
      <c r="O2" s="1366"/>
      <c r="P2" s="362"/>
      <c r="Q2" s="361"/>
      <c r="R2" s="356"/>
      <c r="S2" s="1458">
        <f>INDEX(PT_DIFFERENTIATION_NUM_NTAR,MATCH(A2,PT_DIFFERENTIATION_NTAR_ID,0))</f>
      </c>
      <c r="T2" s="299" t="s">
        <v>131</v>
      </c>
      <c r="U2" s="301"/>
      <c r="V2" s="2243"/>
      <c r="W2" s="2244"/>
      <c r="X2" s="2244"/>
      <c r="Y2" s="2244"/>
      <c r="Z2" s="2244"/>
      <c r="AA2" s="2244"/>
      <c r="AB2" s="2245"/>
      <c r="AC2" s="2243">
        <f>INDEX(PT_DIFFERENTIATION_NTAR,MATCH(A2,PT_DIFFERENTIATION_NTAR_ID,0))</f>
      </c>
      <c r="AD2" s="2244"/>
      <c r="AE2" s="2244"/>
      <c r="AF2" s="2244"/>
      <c r="AG2" s="2244"/>
      <c r="AH2" s="2244"/>
      <c r="AI2" s="2244"/>
      <c r="AJ2" s="2245"/>
      <c r="AK2" s="1259"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M2" s="501"/>
      <c r="AN2" s="501" t="str">
        <f>IF(T2="","",T2)</f>
        <v>Наименование тарифа</v>
      </c>
      <c r="AO2" s="501"/>
      <c r="AP2" s="501"/>
      <c r="AQ2" s="1156">
        <v>0</v>
      </c>
    </row>
    <row customHeight="1" ht="23.25" hidden="1">
      <c r="A3" s="1364"/>
      <c r="B3" s="1364"/>
      <c r="C3" s="1364"/>
      <c r="D3" s="1364"/>
      <c r="E3" s="2260"/>
      <c r="F3" s="2259">
        <v>1</v>
      </c>
      <c r="G3" s="1364"/>
      <c r="H3" s="1364"/>
      <c r="I3" s="1364"/>
      <c r="J3" s="1364"/>
      <c r="K3" s="1364"/>
      <c r="L3" s="1365"/>
      <c r="M3" s="1366"/>
      <c r="N3" s="1366"/>
      <c r="O3" s="1366"/>
      <c r="P3" s="1454"/>
      <c r="Q3" s="353"/>
      <c r="R3" s="354"/>
      <c r="S3" s="1458">
        <f>INDEX(PT_DIFFERENTIATION_NUM_TER,MATCH(B3,PT_DIFFERENTIATION_TER_ID,0))</f>
      </c>
      <c r="T3" s="309" t="s">
        <v>414</v>
      </c>
      <c r="U3" s="301"/>
      <c r="V3" s="2243"/>
      <c r="W3" s="2244"/>
      <c r="X3" s="2244"/>
      <c r="Y3" s="2244"/>
      <c r="Z3" s="2244"/>
      <c r="AA3" s="2244"/>
      <c r="AB3" s="2245"/>
      <c r="AC3" s="2243">
        <f>INDEX(PT_DIFFERENTIATION_TER,MATCH(B3,PT_DIFFERENTIATION_TER_ID,0))</f>
      </c>
      <c r="AD3" s="2244"/>
      <c r="AE3" s="2244"/>
      <c r="AF3" s="2244"/>
      <c r="AG3" s="2244"/>
      <c r="AH3" s="2244"/>
      <c r="AI3" s="2244"/>
      <c r="AJ3" s="2245"/>
      <c r="AK3" s="1259" t="s">
        <v>415</v>
      </c>
      <c r="AM3" s="501"/>
      <c r="AN3" s="501" t="str">
        <f>IF(T3="","",T3)</f>
        <v>Территория действия тарифа</v>
      </c>
      <c r="AO3" s="501"/>
      <c r="AP3" s="501"/>
      <c r="AQ3" s="1156">
        <v>0</v>
      </c>
    </row>
    <row customHeight="1" ht="23.25" hidden="1">
      <c r="A4" s="1364"/>
      <c r="B4" s="1364"/>
      <c r="C4" s="1364"/>
      <c r="D4" s="1364"/>
      <c r="E4" s="2260"/>
      <c r="F4" s="2260"/>
      <c r="G4" s="2259">
        <v>1</v>
      </c>
      <c r="H4" s="1364"/>
      <c r="I4" s="1364"/>
      <c r="J4" s="1364"/>
      <c r="K4" s="1364"/>
      <c r="L4" s="1365"/>
      <c r="M4" s="1366"/>
      <c r="N4" s="1366"/>
      <c r="O4" s="1366"/>
      <c r="P4" s="355"/>
      <c r="Q4" s="353"/>
      <c r="R4" s="354"/>
      <c r="S4" s="1458">
        <f>INDEX(PT_DIFFERENTIATION_NUM_CS,MATCH(C4,PT_DIFFERENTIATION_CS_ID,0))</f>
      </c>
      <c r="T4" s="310" t="s">
        <v>500</v>
      </c>
      <c r="U4" s="301"/>
      <c r="V4" s="2243"/>
      <c r="W4" s="2244"/>
      <c r="X4" s="2244"/>
      <c r="Y4" s="2244"/>
      <c r="Z4" s="2244"/>
      <c r="AA4" s="2244"/>
      <c r="AB4" s="2245"/>
      <c r="AC4" s="2243">
        <f>INDEX(PT_DIFFERENTIATION_CS,MATCH(C4,PT_DIFFERENTIATION_CS_ID,0))</f>
      </c>
      <c r="AD4" s="2244"/>
      <c r="AE4" s="2244"/>
      <c r="AF4" s="2244"/>
      <c r="AG4" s="2244"/>
      <c r="AH4" s="2244"/>
      <c r="AI4" s="2244"/>
      <c r="AJ4" s="2245"/>
      <c r="AK4" s="1259" t="s">
        <v>501</v>
      </c>
      <c r="AM4" s="501"/>
      <c r="AN4" s="501" t="str">
        <f>IF(T4="","",T4)</f>
        <v>Наименование централизованной системы холодного водоснабжения</v>
      </c>
      <c r="AO4" s="501"/>
      <c r="AP4" s="501"/>
      <c r="AQ4" s="1156">
        <v>0</v>
      </c>
    </row>
    <row customHeight="1" ht="23.25" hidden="1">
      <c r="A5" s="1364"/>
      <c r="B5" s="1364"/>
      <c r="C5" s="1364"/>
      <c r="D5" s="1364"/>
      <c r="E5" s="2260"/>
      <c r="F5" s="2260"/>
      <c r="G5" s="2260"/>
      <c r="H5" s="2260"/>
      <c r="I5" s="2257">
        <f>S4&amp;".1"</f>
      </c>
      <c r="J5" s="1364"/>
      <c r="K5" s="1364"/>
      <c r="L5" s="1365"/>
      <c r="P5" s="2258">
        <v>1</v>
      </c>
      <c r="Q5" s="1451"/>
      <c r="R5" s="357"/>
      <c r="S5" s="1458">
        <f>$I5</f>
      </c>
      <c r="T5" s="286" t="s">
        <v>502</v>
      </c>
      <c r="U5" s="301"/>
      <c r="V5" s="2351"/>
      <c r="W5" s="2352"/>
      <c r="X5" s="2352"/>
      <c r="Y5" s="2352"/>
      <c r="Z5" s="2352"/>
      <c r="AA5" s="2352"/>
      <c r="AB5" s="2353"/>
      <c r="AC5" s="2354"/>
      <c r="AD5" s="2355"/>
      <c r="AE5" s="2355"/>
      <c r="AF5" s="2355"/>
      <c r="AG5" s="2355"/>
      <c r="AH5" s="2355"/>
      <c r="AI5" s="2355"/>
      <c r="AJ5" s="2356"/>
      <c r="AK5" s="1259" t="s">
        <v>503</v>
      </c>
      <c r="AM5" s="501"/>
      <c r="AN5" s="501" t="str">
        <f>IF(T5="","",T5)</f>
        <v>Наименование признака дифференциации</v>
      </c>
      <c r="AO5" s="501"/>
      <c r="AP5" s="501"/>
      <c r="AQ5" s="1156">
        <v>0</v>
      </c>
    </row>
    <row customHeight="1" ht="23.25" hidden="1">
      <c r="A6" s="1364"/>
      <c r="B6" s="1364"/>
      <c r="C6" s="1364"/>
      <c r="D6" s="1364"/>
      <c r="E6" s="2260"/>
      <c r="F6" s="2260"/>
      <c r="G6" s="2260"/>
      <c r="H6" s="2260"/>
      <c r="I6" s="2287"/>
      <c r="J6" s="2257">
        <f>I5&amp;".1"</f>
      </c>
      <c r="K6" s="1364"/>
      <c r="L6" s="1365" t="s">
        <v>423</v>
      </c>
      <c r="P6" s="2258"/>
      <c r="Q6" s="2258">
        <v>1</v>
      </c>
      <c r="R6" s="358"/>
      <c r="S6" s="1458">
        <f>$J6</f>
      </c>
      <c r="T6" s="287" t="s">
        <v>424</v>
      </c>
      <c r="U6" s="301"/>
      <c r="V6" s="2246"/>
      <c r="W6" s="2247"/>
      <c r="X6" s="2247"/>
      <c r="Y6" s="2247"/>
      <c r="Z6" s="2247"/>
      <c r="AA6" s="2247"/>
      <c r="AB6" s="2248"/>
      <c r="AC6" s="2246"/>
      <c r="AD6" s="2247"/>
      <c r="AE6" s="2247"/>
      <c r="AF6" s="2247"/>
      <c r="AG6" s="2247"/>
      <c r="AH6" s="2247"/>
      <c r="AI6" s="2247"/>
      <c r="AJ6" s="2248"/>
      <c r="AK6" s="1308" t="s">
        <v>504</v>
      </c>
      <c r="AM6" s="501"/>
      <c r="AN6" s="501" t="str">
        <f>IF(T6="","",T6)</f>
        <v>Группа потребителей</v>
      </c>
      <c r="AO6" s="501"/>
      <c r="AP6" s="501"/>
      <c r="AQ6" s="1156">
        <v>0</v>
      </c>
    </row>
    <row customHeight="1" ht="23.25" hidden="1">
      <c r="A7" s="1364"/>
      <c r="B7" s="1364"/>
      <c r="C7" s="1364"/>
      <c r="D7" s="1364"/>
      <c r="E7" s="2260"/>
      <c r="F7" s="2260"/>
      <c r="G7" s="2260"/>
      <c r="H7" s="2260"/>
      <c r="I7" s="2287"/>
      <c r="J7" s="2287"/>
      <c r="K7" s="2257">
        <f>J6&amp;".1"</f>
      </c>
      <c r="L7" s="1365"/>
      <c r="P7" s="2258"/>
      <c r="Q7" s="2258"/>
      <c r="R7" s="358">
        <v>1</v>
      </c>
      <c r="S7" s="1458">
        <f>$K7</f>
      </c>
      <c r="T7" s="1438"/>
      <c r="U7" s="301"/>
      <c r="V7" s="752"/>
      <c r="W7" s="752"/>
      <c r="X7" s="1258"/>
      <c r="Y7" s="2266"/>
      <c r="Z7" s="2108" t="s">
        <v>61</v>
      </c>
      <c r="AA7" s="2266"/>
      <c r="AB7" s="2108" t="s">
        <v>61</v>
      </c>
      <c r="AC7" s="752"/>
      <c r="AD7" s="752"/>
      <c r="AE7" s="1258"/>
      <c r="AF7" s="2266"/>
      <c r="AG7" s="2108" t="s">
        <v>61</v>
      </c>
      <c r="AH7" s="2288"/>
      <c r="AI7" s="2108" t="s">
        <v>61</v>
      </c>
      <c r="AJ7" s="1439"/>
      <c r="AK7" s="2350"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7" s="512">
        <f>STRCHECKDATE(V8:AJ8)</f>
      </c>
      <c r="AM7" s="501"/>
      <c r="AN7" s="501" t="str">
        <f>IF(T7="","",T7)</f>
        <v/>
      </c>
      <c r="AO7" s="501"/>
      <c r="AP7" s="501"/>
      <c r="AQ7" s="1156">
        <v>0</v>
      </c>
    </row>
    <row customHeight="1" ht="14.25" hidden="1">
      <c r="A8" s="1364"/>
      <c r="B8" s="1364"/>
      <c r="C8" s="1364"/>
      <c r="D8" s="1364"/>
      <c r="E8" s="2260"/>
      <c r="F8" s="2260"/>
      <c r="G8" s="2260"/>
      <c r="H8" s="2260"/>
      <c r="I8" s="2287"/>
      <c r="J8" s="2287"/>
      <c r="K8" s="2257"/>
      <c r="L8" s="1365"/>
      <c r="P8" s="2258"/>
      <c r="Q8" s="2258"/>
      <c r="R8" s="358"/>
      <c r="S8" s="1457"/>
      <c r="T8" s="301"/>
      <c r="U8" s="301"/>
      <c r="V8" s="326"/>
      <c r="W8" s="326"/>
      <c r="X8" s="329" t="str">
        <f>Y7&amp;"-"&amp;AA7</f>
        <v>-</v>
      </c>
      <c r="Y8" s="2267"/>
      <c r="Z8" s="2108"/>
      <c r="AA8" s="2267"/>
      <c r="AB8" s="2108"/>
      <c r="AC8" s="326"/>
      <c r="AD8" s="326"/>
      <c r="AE8" s="329" t="str">
        <f>AF7&amp;"-"&amp;AH7</f>
        <v>-</v>
      </c>
      <c r="AF8" s="2267"/>
      <c r="AG8" s="2108"/>
      <c r="AH8" s="2289"/>
      <c r="AI8" s="2108"/>
      <c r="AJ8" s="1440"/>
      <c r="AK8" s="2350"/>
      <c r="AM8" s="501"/>
      <c r="AN8" s="501" t="str">
        <f>IF(T8="","",T8)</f>
        <v/>
      </c>
      <c r="AO8" s="501"/>
      <c r="AP8" s="501"/>
      <c r="AQ8" s="1156">
        <v>0</v>
      </c>
    </row>
    <row customHeight="1" ht="21" hidden="1">
      <c r="A9" s="1364"/>
      <c r="B9" s="1364"/>
      <c r="C9" s="1364"/>
      <c r="D9" s="1364"/>
      <c r="E9" s="2260"/>
      <c r="F9" s="2260"/>
      <c r="G9" s="2260"/>
      <c r="H9" s="2260"/>
      <c r="I9" s="2287"/>
      <c r="J9" s="2257"/>
      <c r="K9" s="1364"/>
      <c r="L9" s="1365"/>
      <c r="P9" s="2258"/>
      <c r="Q9" s="2258"/>
      <c r="R9" s="357"/>
      <c r="S9" s="1279"/>
      <c r="T9" s="288" t="s">
        <v>505</v>
      </c>
      <c r="U9" s="368"/>
      <c r="V9" s="368"/>
      <c r="W9" s="368"/>
      <c r="X9" s="368"/>
      <c r="Y9" s="368"/>
      <c r="Z9" s="368"/>
      <c r="AA9" s="368"/>
      <c r="AB9" s="368"/>
      <c r="AC9" s="368"/>
      <c r="AD9" s="368"/>
      <c r="AE9" s="368"/>
      <c r="AF9" s="368"/>
      <c r="AG9" s="368"/>
      <c r="AH9" s="368"/>
      <c r="AI9" s="368"/>
      <c r="AJ9" s="368"/>
      <c r="AK9" s="1259" t="s">
        <v>506</v>
      </c>
      <c r="AM9" s="501"/>
      <c r="AN9" s="501" t="str">
        <f>IF(T9="","",T9)</f>
        <v>Добавить значение признака дифференциации</v>
      </c>
      <c r="AO9" s="501"/>
      <c r="AP9" s="501"/>
      <c r="AQ9" s="1156">
        <v>0</v>
      </c>
    </row>
    <row customHeight="1" ht="21" hidden="1">
      <c r="A10" s="1364"/>
      <c r="B10" s="1364"/>
      <c r="C10" s="1364"/>
      <c r="D10" s="1364"/>
      <c r="E10" s="2260"/>
      <c r="F10" s="2260"/>
      <c r="G10" s="2260"/>
      <c r="H10" s="2260"/>
      <c r="I10" s="2257"/>
      <c r="J10" s="1364"/>
      <c r="K10" s="1364"/>
      <c r="L10" s="1365"/>
      <c r="P10" s="2258"/>
      <c r="Q10" s="1451"/>
      <c r="R10" s="357"/>
      <c r="S10" s="1279"/>
      <c r="T10" s="366" t="s">
        <v>429</v>
      </c>
      <c r="U10" s="368"/>
      <c r="V10" s="368"/>
      <c r="W10" s="368"/>
      <c r="X10" s="368"/>
      <c r="Y10" s="368"/>
      <c r="Z10" s="368"/>
      <c r="AA10" s="368"/>
      <c r="AB10" s="367"/>
      <c r="AC10" s="368"/>
      <c r="AD10" s="368"/>
      <c r="AE10" s="368"/>
      <c r="AF10" s="368"/>
      <c r="AG10" s="368"/>
      <c r="AH10" s="368"/>
      <c r="AI10" s="367"/>
      <c r="AJ10" s="368"/>
      <c r="AK10" s="1441"/>
      <c r="AM10" s="501"/>
      <c r="AN10" s="501" t="str">
        <f>IF(T10="","",T10)</f>
        <v>Добавить группу потребителей</v>
      </c>
      <c r="AO10" s="501"/>
      <c r="AP10" s="501"/>
      <c r="AQ10" s="1156">
        <v>0</v>
      </c>
    </row>
    <row customHeight="1" ht="21" hidden="1">
      <c r="A11" s="1364"/>
      <c r="B11" s="1364"/>
      <c r="C11" s="1364"/>
      <c r="D11" s="1364"/>
      <c r="E11" s="2260"/>
      <c r="F11" s="2260"/>
      <c r="G11" s="2260"/>
      <c r="H11" s="2259"/>
      <c r="I11" s="1364"/>
      <c r="J11" s="1364"/>
      <c r="K11" s="1364"/>
      <c r="L11" s="1365"/>
      <c r="M11" s="1366"/>
      <c r="N11" s="1366"/>
      <c r="O11" s="538"/>
      <c r="P11" s="361"/>
      <c r="Q11" s="376"/>
      <c r="R11" s="356"/>
      <c r="S11" s="1279"/>
      <c r="T11" s="373" t="s">
        <v>507</v>
      </c>
      <c r="U11" s="368"/>
      <c r="V11" s="368"/>
      <c r="W11" s="368"/>
      <c r="X11" s="368"/>
      <c r="Y11" s="368"/>
      <c r="Z11" s="368"/>
      <c r="AA11" s="368"/>
      <c r="AB11" s="367"/>
      <c r="AC11" s="368"/>
      <c r="AD11" s="368"/>
      <c r="AE11" s="368"/>
      <c r="AF11" s="368"/>
      <c r="AG11" s="368"/>
      <c r="AH11" s="368"/>
      <c r="AI11" s="367"/>
      <c r="AJ11" s="368"/>
      <c r="AK11" s="304"/>
      <c r="AM11" s="501"/>
      <c r="AN11" s="501" t="str">
        <f>IF(T11="","",T11)</f>
        <v>Добавить наименование признака дифференциации</v>
      </c>
      <c r="AO11" s="501"/>
      <c r="AP11" s="501"/>
      <c r="AQ11" s="1156">
        <v>0</v>
      </c>
    </row>
    <row s="1643" customFormat="1" customHeight="1" ht="14.25" hidden="1">
      <c r="A12" s="1344"/>
      <c r="B12" s="1344"/>
      <c r="C12" s="1315"/>
      <c r="D12" s="1315"/>
      <c r="E12" s="2260"/>
      <c r="F12" s="2259"/>
      <c r="G12" s="1315"/>
      <c r="H12" s="1315"/>
      <c r="I12" s="1315"/>
      <c r="J12" s="1315"/>
      <c r="K12" s="1315"/>
      <c r="L12" s="1459"/>
      <c r="M12" s="1322"/>
      <c r="N12" s="1322"/>
      <c r="P12" s="1317"/>
      <c r="Q12" s="1318"/>
      <c r="R12" s="1317"/>
      <c r="S12" s="1323"/>
      <c r="T12" s="1326" t="s">
        <v>177</v>
      </c>
      <c r="U12" s="1325"/>
      <c r="V12" s="1325"/>
      <c r="W12" s="1325"/>
      <c r="X12" s="1325"/>
      <c r="Y12" s="1325"/>
      <c r="Z12" s="1325"/>
      <c r="AA12" s="1325"/>
      <c r="AB12" s="1325"/>
      <c r="AC12" s="1325"/>
      <c r="AD12" s="1325"/>
      <c r="AE12" s="1325"/>
      <c r="AF12" s="1325"/>
      <c r="AG12" s="1325"/>
      <c r="AH12" s="1325"/>
      <c r="AI12" s="1325"/>
      <c r="AJ12" s="1325"/>
      <c r="AK12" s="1325"/>
      <c r="AM12" s="790"/>
      <c r="AN12" s="790" t="str">
        <f>IF(T12="","",T12)</f>
        <v>Добавить централизованную систему для дифференциации</v>
      </c>
      <c r="AO12" s="790"/>
      <c r="AP12" s="790"/>
      <c r="AQ12" s="519">
        <v>0</v>
      </c>
    </row>
    <row s="1643" customFormat="1" customHeight="1" ht="14.25" hidden="1">
      <c r="A13" s="1344"/>
      <c r="B13" s="1344"/>
      <c r="C13" s="1344"/>
      <c r="D13" s="1344"/>
      <c r="E13" s="2259"/>
      <c r="F13" s="1344"/>
      <c r="G13" s="1344"/>
      <c r="H13" s="1344"/>
      <c r="I13" s="1344"/>
      <c r="J13" s="1344"/>
      <c r="K13" s="1344"/>
      <c r="L13" s="1347"/>
      <c r="M13" s="1322"/>
      <c r="N13" s="1322"/>
      <c r="O13" s="519"/>
      <c r="P13" s="381"/>
      <c r="Q13" s="1345"/>
      <c r="R13" s="381"/>
      <c r="S13" s="1323"/>
      <c r="T13" s="1326" t="s">
        <v>178</v>
      </c>
      <c r="U13" s="1325"/>
      <c r="V13" s="1325"/>
      <c r="W13" s="1325"/>
      <c r="X13" s="1325"/>
      <c r="Y13" s="1325"/>
      <c r="Z13" s="1325"/>
      <c r="AA13" s="1325"/>
      <c r="AB13" s="1325"/>
      <c r="AC13" s="1325"/>
      <c r="AD13" s="1325"/>
      <c r="AE13" s="1325"/>
      <c r="AF13" s="1325"/>
      <c r="AG13" s="1325"/>
      <c r="AH13" s="1325"/>
      <c r="AI13" s="1325"/>
      <c r="AJ13" s="1325"/>
      <c r="AK13" s="1325"/>
      <c r="AM13" s="501"/>
      <c r="AN13" s="501" t="str">
        <f>IF(T13="","",T13)</f>
        <v>Добавить территорию для дифференциации</v>
      </c>
      <c r="AO13" s="501"/>
      <c r="AP13" s="501"/>
      <c r="AQ13" s="512">
        <v>0</v>
      </c>
    </row>
    <row customHeight="1" ht="14.25" hidden="1">
      <c r="AB14" s="328"/>
      <c r="AI14" s="328"/>
      <c r="AQ14" s="1156">
        <v>0</v>
      </c>
    </row>
    <row customHeight="1" ht="14.25" hidden="1">
      <c r="AC15" s="1361"/>
      <c r="AD15" s="1361"/>
      <c r="AE15" s="1362"/>
      <c r="AF15" s="2268"/>
      <c r="AG15" s="2269" t="s">
        <v>61</v>
      </c>
      <c r="AH15" s="2268"/>
      <c r="AI15" s="2269" t="s">
        <v>61</v>
      </c>
      <c r="AQ15" s="1156">
        <v>0</v>
      </c>
    </row>
    <row customHeight="1" ht="14.25" hidden="1">
      <c r="AC16" s="1361"/>
      <c r="AD16" s="1361"/>
      <c r="AE16" s="329" t="str">
        <f>AF15&amp;"-"&amp;AH15</f>
        <v>-</v>
      </c>
      <c r="AF16" s="2269"/>
      <c r="AG16" s="2269"/>
      <c r="AH16" s="2269"/>
      <c r="AI16" s="2269"/>
      <c r="AQ16" s="1156">
        <v>0</v>
      </c>
    </row>
    <row customHeight="1" ht="14.25" hidden="1">
      <c r="AI17" s="328"/>
      <c r="AQ17" s="1156">
        <v>0</v>
      </c>
    </row>
    <row s="1367" customFormat="1" customHeight="1" ht="22.5" hidden="1">
      <c r="L18" s="1448"/>
      <c r="M18" s="1363"/>
      <c r="N18" s="1363"/>
      <c r="O18" s="1368" t="s">
        <v>431</v>
      </c>
      <c r="P18" s="1363"/>
      <c r="Q18" s="1372"/>
      <c r="R18" s="1372"/>
      <c r="S18" s="730"/>
      <c r="Y18" s="1368"/>
      <c r="AA18" s="1368"/>
      <c r="AB18" s="1367"/>
      <c r="AF18" s="1368"/>
      <c r="AH18" s="1368"/>
      <c r="AI18" s="1367"/>
      <c r="AL18" s="512"/>
      <c r="AM18" s="512"/>
      <c r="AN18" s="512"/>
      <c r="AO18" s="512"/>
      <c r="AP18" s="512"/>
      <c r="AQ18" s="1161">
        <v>0</v>
      </c>
    </row>
    <row s="1367" customFormat="1" customHeight="1" ht="14.25" hidden="1">
      <c r="L19" s="1448"/>
      <c r="M19" s="1363"/>
      <c r="N19" s="1363"/>
      <c r="O19" s="1363"/>
      <c r="P19" s="1363"/>
      <c r="Q19" s="1372"/>
      <c r="R19" s="1372"/>
      <c r="S19" s="730"/>
      <c r="AB19" s="1367"/>
      <c r="AI19" s="1367"/>
      <c r="AL19" s="512"/>
      <c r="AM19" s="512"/>
      <c r="AN19" s="512"/>
      <c r="AO19" s="512"/>
      <c r="AP19" s="512"/>
      <c r="AQ19" s="1161">
        <v>0</v>
      </c>
    </row>
    <row s="1367" customFormat="1" customHeight="1" ht="12" hidden="1">
      <c r="L20" s="1448"/>
      <c r="M20" s="1363"/>
      <c r="N20" s="1363"/>
      <c r="O20" s="1365" t="s">
        <v>432</v>
      </c>
      <c r="P20" s="1363"/>
      <c r="Q20" s="1443"/>
      <c r="R20" s="1443"/>
      <c r="S20" s="730"/>
      <c r="T20" s="1161" t="s">
        <v>433</v>
      </c>
      <c r="Z20" s="187" t="s">
        <v>434</v>
      </c>
      <c r="AB20" s="187" t="s">
        <v>435</v>
      </c>
      <c r="AC20" s="1161" t="s">
        <v>433</v>
      </c>
      <c r="AG20" s="187" t="s">
        <v>436</v>
      </c>
      <c r="AI20" s="187" t="s">
        <v>435</v>
      </c>
      <c r="AQ20" s="1161">
        <v>0</v>
      </c>
    </row>
    <row customHeight="1" ht="14.25" hidden="1">
      <c r="O21" s="1365"/>
      <c r="AQ21" s="1156">
        <v>0</v>
      </c>
    </row>
    <row customHeight="1" ht="14.25" hidden="1">
      <c r="O22" s="1365"/>
      <c r="AQ22" s="1156">
        <v>0</v>
      </c>
    </row>
    <row customHeight="1" ht="14.699999999999998">
      <c r="Q23" s="377"/>
      <c r="R23" s="377"/>
      <c r="S23" s="1276"/>
      <c r="T23" s="364"/>
      <c r="U23" s="364"/>
      <c r="V23" s="510"/>
      <c r="W23" s="510"/>
      <c r="X23" s="510"/>
      <c r="Y23" s="510"/>
      <c r="Z23" s="510"/>
      <c r="AA23" s="510"/>
      <c r="AB23" s="510"/>
      <c r="AC23" s="510"/>
      <c r="AD23" s="510"/>
      <c r="AE23" s="510"/>
      <c r="AF23" s="510"/>
      <c r="AG23" s="510"/>
      <c r="AH23" s="510"/>
      <c r="AI23" s="510"/>
      <c r="AQ23" s="1156">
        <v>14</v>
      </c>
    </row>
    <row customHeight="1" ht="14.699999999999998">
      <c r="Q24" s="377"/>
      <c r="R24" s="377"/>
      <c r="S24" s="2249" t="str">
        <f>IF(TEMPLATE_GROUP="P",PT_P_FORM_COLDVSNA_4_NAME_FORM,PT_R_FORM_COLDVSNA_16_NAME_FORM)</f>
        <v>Форма 13. Информация о предложении организации холодного водоснабжения об установлении расчетной величины тарифов в сфере холодного водоснабжения</v>
      </c>
      <c r="T24" s="2249"/>
      <c r="U24" s="2249"/>
      <c r="V24" s="2249"/>
      <c r="W24" s="2249"/>
      <c r="X24" s="2249"/>
      <c r="Y24" s="2249"/>
      <c r="Z24" s="2249"/>
      <c r="AA24" s="2249"/>
      <c r="AB24" s="2249"/>
      <c r="AC24" s="2249"/>
      <c r="AD24" s="2249"/>
      <c r="AE24" s="2249"/>
      <c r="AF24" s="2249"/>
      <c r="AG24" s="2249"/>
      <c r="AH24" s="2249"/>
      <c r="AI24" s="1244"/>
      <c r="AQ24" s="1156">
        <v>14</v>
      </c>
    </row>
    <row customHeight="1" ht="14.699999999999998">
      <c r="Q25" s="377"/>
      <c r="R25" s="377"/>
      <c r="S25" s="2250" t="str">
        <f>IF(org=0,"Не определено",org)</f>
        <v>ПАО "КГК"</v>
      </c>
      <c r="T25" s="2250"/>
      <c r="U25" s="2250"/>
      <c r="V25" s="2250"/>
      <c r="W25" s="2250"/>
      <c r="X25" s="2250"/>
      <c r="Y25" s="2250"/>
      <c r="Z25" s="2250"/>
      <c r="AA25" s="2250"/>
      <c r="AB25" s="2250"/>
      <c r="AC25" s="2250"/>
      <c r="AD25" s="2250"/>
      <c r="AE25" s="2250"/>
      <c r="AF25" s="2250"/>
      <c r="AG25" s="2250"/>
      <c r="AH25" s="2250"/>
      <c r="AI25" s="1244"/>
      <c r="AQ25" s="1156">
        <v>14</v>
      </c>
    </row>
    <row customHeight="1" ht="14.25" hidden="1">
      <c r="Q26" s="377"/>
      <c r="R26" s="377"/>
      <c r="S26" s="1276"/>
      <c r="T26" s="364"/>
      <c r="U26" s="364"/>
      <c r="V26" s="323"/>
      <c r="W26" s="323"/>
      <c r="X26" s="323"/>
      <c r="Y26" s="323"/>
      <c r="Z26" s="323"/>
      <c r="AA26" s="323"/>
      <c r="AB26" s="323"/>
      <c r="AC26" s="323"/>
      <c r="AD26" s="323"/>
      <c r="AE26" s="323"/>
      <c r="AF26" s="323"/>
      <c r="AG26" s="323"/>
      <c r="AH26" s="323"/>
      <c r="AI26" s="323"/>
      <c r="AJ26" s="510"/>
      <c r="AQ26" s="1156">
        <v>0</v>
      </c>
    </row>
    <row s="1854" customFormat="1" customHeight="1" ht="25.5" hidden="1">
      <c r="A27" s="1369"/>
      <c r="B27" s="1369"/>
      <c r="C27" s="1369"/>
      <c r="D27" s="1369"/>
      <c r="E27" s="1369"/>
      <c r="F27" s="1369"/>
      <c r="G27" s="1369"/>
      <c r="H27" s="1369"/>
      <c r="I27" s="1369"/>
      <c r="J27" s="1369"/>
      <c r="K27" s="1369"/>
      <c r="L27" s="1370"/>
      <c r="M27" s="1369"/>
      <c r="N27" s="1369"/>
      <c r="O27" s="1369"/>
      <c r="S27" s="2251" t="s">
        <v>42</v>
      </c>
      <c r="T27" s="2251"/>
      <c r="U27" s="1373"/>
      <c r="V27" s="2252" t="str">
        <f>IF(TITLE_NAME_OR_PR_CHANGE="",IF(TITLE_NAME_OR_PR="","",TITLE_NAME_OR_PR),TITLE_NAME_OR_PR_CHANGE)</f>
        <v/>
      </c>
      <c r="W27" s="2252"/>
      <c r="X27" s="2252"/>
      <c r="Y27" s="2252"/>
      <c r="Z27" s="2252"/>
      <c r="AA27" s="2252"/>
      <c r="AB27" s="327"/>
      <c r="AC27" s="2252" t="str">
        <f>IF(TITLE_NAME_OR_PR_CHANGE="",IF(TITLE_NAME_OR_PR="","",TITLE_NAME_OR_PR),TITLE_NAME_OR_PR_CHANGE)</f>
        <v/>
      </c>
      <c r="AD27" s="2252"/>
      <c r="AE27" s="2252"/>
      <c r="AF27" s="2252"/>
      <c r="AG27" s="2252"/>
      <c r="AH27" s="2252"/>
      <c r="AI27" s="327"/>
      <c r="AJ27" s="327"/>
      <c r="AK27" s="281"/>
      <c r="AL27" s="369"/>
      <c r="AM27" s="369"/>
      <c r="AN27" s="369"/>
      <c r="AO27" s="369"/>
      <c r="AP27" s="369"/>
      <c r="AQ27" s="419">
        <v>0</v>
      </c>
    </row>
    <row s="1854" customFormat="1" customHeight="1" ht="18.75" hidden="1">
      <c r="A28" s="1369"/>
      <c r="B28" s="1369"/>
      <c r="C28" s="1369"/>
      <c r="D28" s="1369"/>
      <c r="E28" s="1369"/>
      <c r="F28" s="1369"/>
      <c r="G28" s="1369"/>
      <c r="H28" s="1369"/>
      <c r="I28" s="1369"/>
      <c r="J28" s="1369"/>
      <c r="K28" s="1369"/>
      <c r="L28" s="1370"/>
      <c r="M28" s="1369"/>
      <c r="N28" s="1369"/>
      <c r="O28" s="1369"/>
      <c r="S28" s="2251" t="s">
        <v>437</v>
      </c>
      <c r="T28" s="2251"/>
      <c r="U28" s="1373"/>
      <c r="V28" s="2265" t="str">
        <f>IF(TITLE_DATE_PR_CHANGE="",IF(TITLE_DATE_PR="","",TITLE_DATE_PR),TITLE_DATE_PR_CHANGE)</f>
        <v>46142</v>
      </c>
      <c r="W28" s="2265"/>
      <c r="X28" s="2265"/>
      <c r="Y28" s="2265"/>
      <c r="Z28" s="2265"/>
      <c r="AA28" s="2265"/>
      <c r="AB28" s="327"/>
      <c r="AC28" s="2265" t="str">
        <f>IF(TITLE_DATE_PR_CHANGE="",IF(TITLE_DATE_PR="","",TITLE_DATE_PR),TITLE_DATE_PR_CHANGE)</f>
        <v>46142</v>
      </c>
      <c r="AD28" s="2265"/>
      <c r="AE28" s="2265"/>
      <c r="AF28" s="2265"/>
      <c r="AG28" s="2265"/>
      <c r="AH28" s="2265"/>
      <c r="AI28" s="327"/>
      <c r="AJ28" s="327"/>
      <c r="AK28" s="281"/>
      <c r="AL28" s="369"/>
      <c r="AM28" s="369"/>
      <c r="AN28" s="369"/>
      <c r="AO28" s="369"/>
      <c r="AP28" s="369"/>
      <c r="AQ28" s="419">
        <v>0</v>
      </c>
    </row>
    <row s="1854" customFormat="1" customHeight="1" ht="18.75" hidden="1">
      <c r="A29" s="1369"/>
      <c r="B29" s="1369"/>
      <c r="C29" s="1369"/>
      <c r="D29" s="1369"/>
      <c r="E29" s="1369"/>
      <c r="F29" s="1369"/>
      <c r="G29" s="1369"/>
      <c r="H29" s="1369"/>
      <c r="I29" s="1369"/>
      <c r="J29" s="1369"/>
      <c r="K29" s="1369"/>
      <c r="L29" s="1370"/>
      <c r="M29" s="1369"/>
      <c r="N29" s="1369"/>
      <c r="O29" s="1369"/>
      <c r="S29" s="2251" t="s">
        <v>438</v>
      </c>
      <c r="T29" s="2251"/>
      <c r="U29" s="1373"/>
      <c r="V29" s="2252" t="str">
        <f>IF(TITLE_NUMBER_PR_CHANGE="",IF(TITLE_NUMBER_PR="","",TITLE_NUMBER_PR),TITLE_NUMBER_PR_CHANGE)</f>
        <v>206Т</v>
      </c>
      <c r="W29" s="2252"/>
      <c r="X29" s="2252"/>
      <c r="Y29" s="2252"/>
      <c r="Z29" s="2252"/>
      <c r="AA29" s="2252"/>
      <c r="AB29" s="327"/>
      <c r="AC29" s="2252" t="str">
        <f>IF(TITLE_NUMBER_PR_CHANGE="",IF(TITLE_NUMBER_PR="","",TITLE_NUMBER_PR),TITLE_NUMBER_PR_CHANGE)</f>
        <v>206Т</v>
      </c>
      <c r="AD29" s="2252"/>
      <c r="AE29" s="2252"/>
      <c r="AF29" s="2252"/>
      <c r="AG29" s="2252"/>
      <c r="AH29" s="2252"/>
      <c r="AI29" s="327"/>
      <c r="AJ29" s="327"/>
      <c r="AK29" s="281"/>
      <c r="AL29" s="369"/>
      <c r="AM29" s="369"/>
      <c r="AN29" s="369"/>
      <c r="AO29" s="369"/>
      <c r="AP29" s="369"/>
      <c r="AQ29" s="419">
        <v>0</v>
      </c>
    </row>
    <row s="1854" customFormat="1" customHeight="1" ht="18.75" hidden="1">
      <c r="A30" s="1369"/>
      <c r="B30" s="1369"/>
      <c r="C30" s="1369"/>
      <c r="D30" s="1369"/>
      <c r="E30" s="1369"/>
      <c r="F30" s="1369"/>
      <c r="G30" s="1369"/>
      <c r="H30" s="1369"/>
      <c r="I30" s="1369"/>
      <c r="J30" s="1369"/>
      <c r="K30" s="1369"/>
      <c r="L30" s="1370"/>
      <c r="M30" s="1369"/>
      <c r="N30" s="1369"/>
      <c r="O30" s="1369"/>
      <c r="S30" s="2251" t="s">
        <v>43</v>
      </c>
      <c r="T30" s="2251"/>
      <c r="U30" s="1373"/>
      <c r="V30" s="2252" t="str">
        <f>IF(TITLE_IST_PUB_CHANGE="",IF(TITLE_IST_PUB="","",TITLE_IST_PUB),TITLE_IST_PUB_CHANGE)</f>
        <v/>
      </c>
      <c r="W30" s="2252"/>
      <c r="X30" s="2252"/>
      <c r="Y30" s="2252"/>
      <c r="Z30" s="2252"/>
      <c r="AA30" s="2252"/>
      <c r="AB30" s="327"/>
      <c r="AC30" s="2252" t="str">
        <f>IF(TITLE_IST_PUB_CHANGE="",IF(TITLE_IST_PUB="","",TITLE_IST_PUB),TITLE_IST_PUB_CHANGE)</f>
        <v/>
      </c>
      <c r="AD30" s="2252"/>
      <c r="AE30" s="2252"/>
      <c r="AF30" s="2252"/>
      <c r="AG30" s="2252"/>
      <c r="AH30" s="2252"/>
      <c r="AI30" s="327"/>
      <c r="AJ30" s="327"/>
      <c r="AK30" s="281"/>
      <c r="AL30" s="369"/>
      <c r="AM30" s="369"/>
      <c r="AN30" s="369"/>
      <c r="AO30" s="369"/>
      <c r="AP30" s="369"/>
      <c r="AQ30" s="419">
        <v>0</v>
      </c>
    </row>
    <row customHeight="1" ht="14.25">
      <c r="Q31" s="377"/>
      <c r="R31" s="377"/>
      <c r="S31" s="1276"/>
      <c r="T31" s="364"/>
      <c r="U31" s="364"/>
      <c r="V31" s="323"/>
      <c r="W31" s="323"/>
      <c r="X31" s="323"/>
      <c r="Y31" s="323"/>
      <c r="Z31" s="323"/>
      <c r="AA31" s="323"/>
      <c r="AB31" s="323"/>
      <c r="AC31" s="323"/>
      <c r="AD31" s="323"/>
      <c r="AE31" s="323"/>
      <c r="AF31" s="323"/>
      <c r="AG31" s="323"/>
      <c r="AH31" s="323"/>
      <c r="AI31" s="323"/>
      <c r="AJ31" s="510"/>
      <c r="AQ31" s="1156">
        <v>0</v>
      </c>
    </row>
    <row s="1854" customFormat="1" customHeight="1" ht="18.75">
      <c r="A32" s="1369"/>
      <c r="B32" s="1369"/>
      <c r="C32" s="1369"/>
      <c r="D32" s="1369"/>
      <c r="E32" s="1369"/>
      <c r="F32" s="1369"/>
      <c r="G32" s="1369"/>
      <c r="H32" s="1369"/>
      <c r="I32" s="1369"/>
      <c r="J32" s="1369"/>
      <c r="K32" s="1369"/>
      <c r="L32" s="1370"/>
      <c r="M32" s="1369"/>
      <c r="N32" s="1369"/>
      <c r="O32" s="1369"/>
      <c r="S32" s="2251" t="s">
        <v>439</v>
      </c>
      <c r="T32" s="2251"/>
      <c r="U32" s="1373"/>
      <c r="V32" s="2265" t="str">
        <f>IF(TITLE_DATE_PR_CHANGE="",IF(TITLE_DATE_PR="","",TITLE_DATE_PR),TITLE_DATE_PR_CHANGE)</f>
        <v>46142</v>
      </c>
      <c r="W32" s="2265"/>
      <c r="X32" s="2265"/>
      <c r="Y32" s="2265"/>
      <c r="Z32" s="2265"/>
      <c r="AA32" s="2265"/>
      <c r="AB32" s="327"/>
      <c r="AC32" s="2265" t="str">
        <f>IF(TITLE_DATE_PR_CHANGE="",IF(TITLE_DATE_PR="","",TITLE_DATE_PR),TITLE_DATE_PR_CHANGE)</f>
        <v>46142</v>
      </c>
      <c r="AD32" s="2265"/>
      <c r="AE32" s="2265"/>
      <c r="AF32" s="2265"/>
      <c r="AG32" s="2265"/>
      <c r="AH32" s="2265"/>
      <c r="AI32" s="327"/>
      <c r="AJ32" s="327"/>
      <c r="AK32" s="281"/>
      <c r="AL32" s="369"/>
      <c r="AM32" s="369"/>
      <c r="AN32" s="369"/>
      <c r="AO32" s="369"/>
      <c r="AP32" s="369"/>
      <c r="AQ32" s="419">
        <v>0</v>
      </c>
    </row>
    <row s="1854" customFormat="1" customHeight="1" ht="18.75">
      <c r="A33" s="1369"/>
      <c r="B33" s="1369"/>
      <c r="C33" s="1369"/>
      <c r="D33" s="1369"/>
      <c r="E33" s="1369"/>
      <c r="F33" s="1369"/>
      <c r="G33" s="1369"/>
      <c r="H33" s="1369"/>
      <c r="I33" s="1369"/>
      <c r="J33" s="1369"/>
      <c r="K33" s="1369"/>
      <c r="L33" s="1370"/>
      <c r="M33" s="1369"/>
      <c r="N33" s="1369"/>
      <c r="O33" s="1369"/>
      <c r="S33" s="2251" t="s">
        <v>440</v>
      </c>
      <c r="T33" s="2251"/>
      <c r="U33" s="1373"/>
      <c r="V33" s="2252" t="str">
        <f>IF(TITLE_NUMBER_PR_CHANGE="",IF(TITLE_NUMBER_PR="","",TITLE_NUMBER_PR),TITLE_NUMBER_PR_CHANGE)</f>
        <v>206Т</v>
      </c>
      <c r="W33" s="2252"/>
      <c r="X33" s="2252"/>
      <c r="Y33" s="2252"/>
      <c r="Z33" s="2252"/>
      <c r="AA33" s="2252"/>
      <c r="AB33" s="327"/>
      <c r="AC33" s="2252" t="str">
        <f>IF(TITLE_NUMBER_PR_CHANGE="",IF(TITLE_NUMBER_PR="","",TITLE_NUMBER_PR),TITLE_NUMBER_PR_CHANGE)</f>
        <v>206Т</v>
      </c>
      <c r="AD33" s="2252"/>
      <c r="AE33" s="2252"/>
      <c r="AF33" s="2252"/>
      <c r="AG33" s="2252"/>
      <c r="AH33" s="2252"/>
      <c r="AI33" s="327"/>
      <c r="AJ33" s="327"/>
      <c r="AK33" s="281"/>
      <c r="AL33" s="369"/>
      <c r="AM33" s="369"/>
      <c r="AN33" s="369"/>
      <c r="AO33" s="369"/>
      <c r="AP33" s="369"/>
      <c r="AQ33" s="419">
        <v>0</v>
      </c>
    </row>
    <row s="1854" customFormat="1" customHeight="1" ht="1.05">
      <c r="A34" s="1369"/>
      <c r="B34" s="1369"/>
      <c r="C34" s="1369"/>
      <c r="D34" s="1369"/>
      <c r="E34" s="1369"/>
      <c r="F34" s="1369"/>
      <c r="G34" s="1369"/>
      <c r="H34" s="1369"/>
      <c r="I34" s="1369"/>
      <c r="J34" s="1369"/>
      <c r="K34" s="1369"/>
      <c r="L34" s="1370"/>
      <c r="M34" s="1369"/>
      <c r="N34" s="1369"/>
      <c r="O34" s="1369"/>
      <c r="S34" s="324"/>
      <c r="T34" s="324"/>
      <c r="U34" s="1455"/>
      <c r="V34" s="327"/>
      <c r="W34" s="327"/>
      <c r="X34" s="327"/>
      <c r="Y34" s="327"/>
      <c r="Z34" s="327"/>
      <c r="AA34" s="327"/>
      <c r="AB34" s="279" t="s">
        <v>441</v>
      </c>
      <c r="AC34" s="327"/>
      <c r="AD34" s="327"/>
      <c r="AE34" s="327"/>
      <c r="AF34" s="327"/>
      <c r="AG34" s="327"/>
      <c r="AH34" s="327"/>
      <c r="AI34" s="279" t="s">
        <v>441</v>
      </c>
      <c r="AL34" s="369"/>
      <c r="AM34" s="369"/>
      <c r="AN34" s="369"/>
      <c r="AO34" s="369"/>
      <c r="AP34" s="369"/>
      <c r="AQ34" s="419">
        <v>1</v>
      </c>
    </row>
    <row customHeight="1" ht="14.699999999999998">
      <c r="Q35" s="377"/>
      <c r="R35" s="377"/>
      <c r="S35" s="1276"/>
      <c r="T35" s="364"/>
      <c r="U35" s="1245"/>
      <c r="V35" s="2253"/>
      <c r="W35" s="2253"/>
      <c r="X35" s="2253"/>
      <c r="Y35" s="2253"/>
      <c r="Z35" s="2253"/>
      <c r="AA35" s="2253"/>
      <c r="AB35" s="2253"/>
      <c r="AC35" s="2253"/>
      <c r="AD35" s="2253"/>
      <c r="AE35" s="2253"/>
      <c r="AF35" s="2253"/>
      <c r="AG35" s="2253"/>
      <c r="AH35" s="2253"/>
      <c r="AI35" s="2253"/>
      <c r="AQ35" s="1156">
        <v>14</v>
      </c>
    </row>
    <row customHeight="1" ht="14.699999999999998">
      <c r="Q36" s="377"/>
      <c r="R36" s="377"/>
      <c r="S36" s="2128" t="s">
        <v>317</v>
      </c>
      <c r="T36" s="2128"/>
      <c r="U36" s="2128"/>
      <c r="V36" s="2128"/>
      <c r="W36" s="2128"/>
      <c r="X36" s="2128"/>
      <c r="Y36" s="2128"/>
      <c r="Z36" s="2128"/>
      <c r="AA36" s="2128"/>
      <c r="AB36" s="2128"/>
      <c r="AC36" s="2128"/>
      <c r="AD36" s="2128"/>
      <c r="AE36" s="2128"/>
      <c r="AF36" s="2128"/>
      <c r="AG36" s="2128"/>
      <c r="AH36" s="2128"/>
      <c r="AI36" s="2128"/>
      <c r="AJ36" s="2128"/>
      <c r="AK36" s="2128" t="s">
        <v>318</v>
      </c>
      <c r="AQ36" s="1156">
        <v>14</v>
      </c>
    </row>
    <row customHeight="1" ht="14.699999999999998">
      <c r="Q37" s="377"/>
      <c r="R37" s="377"/>
      <c r="S37" s="2274" t="s">
        <v>89</v>
      </c>
      <c r="T37" s="2210" t="s">
        <v>442</v>
      </c>
      <c r="U37" s="302"/>
      <c r="V37" s="2275" t="s">
        <v>443</v>
      </c>
      <c r="W37" s="2276"/>
      <c r="X37" s="2276"/>
      <c r="Y37" s="2276"/>
      <c r="Z37" s="2276"/>
      <c r="AA37" s="2277"/>
      <c r="AB37" s="2278" t="s">
        <v>444</v>
      </c>
      <c r="AC37" s="2275" t="s">
        <v>443</v>
      </c>
      <c r="AD37" s="2276"/>
      <c r="AE37" s="2276"/>
      <c r="AF37" s="2276"/>
      <c r="AG37" s="2276"/>
      <c r="AH37" s="2277"/>
      <c r="AI37" s="2278" t="s">
        <v>445</v>
      </c>
      <c r="AJ37" s="2281" t="s">
        <v>446</v>
      </c>
      <c r="AK37" s="2128"/>
      <c r="AQ37" s="1156">
        <v>14</v>
      </c>
    </row>
    <row customHeight="1" ht="35.699999999999996">
      <c r="Q38" s="377"/>
      <c r="R38" s="377"/>
      <c r="S38" s="2274"/>
      <c r="T38" s="2210"/>
      <c r="U38" s="1032"/>
      <c r="V38" s="1453" t="s">
        <v>508</v>
      </c>
      <c r="W38" s="2263" t="s">
        <v>449</v>
      </c>
      <c r="X38" s="2264"/>
      <c r="Y38" s="2263" t="s">
        <v>450</v>
      </c>
      <c r="Z38" s="2270"/>
      <c r="AA38" s="2264"/>
      <c r="AB38" s="2279"/>
      <c r="AC38" s="1453" t="s">
        <v>508</v>
      </c>
      <c r="AD38" s="2263" t="s">
        <v>449</v>
      </c>
      <c r="AE38" s="2264"/>
      <c r="AF38" s="2263" t="s">
        <v>450</v>
      </c>
      <c r="AG38" s="2270"/>
      <c r="AH38" s="2264"/>
      <c r="AI38" s="2279"/>
      <c r="AJ38" s="2282"/>
      <c r="AK38" s="2128"/>
      <c r="AQ38" s="1156">
        <v>34</v>
      </c>
    </row>
    <row customHeight="1" ht="35.699999999999996">
      <c r="A39" s="1371"/>
      <c r="B39" s="1371" t="s">
        <v>143</v>
      </c>
      <c r="C39" s="1371" t="s">
        <v>144</v>
      </c>
      <c r="D39" s="1371" t="s">
        <v>145</v>
      </c>
      <c r="E39" s="1365" t="s">
        <v>451</v>
      </c>
      <c r="F39" s="1365" t="s">
        <v>452</v>
      </c>
      <c r="G39" s="1365" t="s">
        <v>453</v>
      </c>
      <c r="H39" s="1365"/>
      <c r="I39" s="1365" t="s">
        <v>509</v>
      </c>
      <c r="J39" s="1365" t="s">
        <v>456</v>
      </c>
      <c r="K39" s="1365" t="s">
        <v>510</v>
      </c>
      <c r="L39" s="1365" t="s">
        <v>432</v>
      </c>
      <c r="Q39" s="377"/>
      <c r="R39" s="377"/>
      <c r="S39" s="2274"/>
      <c r="T39" s="2210"/>
      <c r="U39" s="303"/>
      <c r="V39" s="1453" t="s">
        <v>511</v>
      </c>
      <c r="W39" s="1223" t="s">
        <v>512</v>
      </c>
      <c r="X39" s="1223" t="s">
        <v>513</v>
      </c>
      <c r="Y39" s="1456" t="s">
        <v>460</v>
      </c>
      <c r="Z39" s="2271" t="s">
        <v>461</v>
      </c>
      <c r="AA39" s="2272"/>
      <c r="AB39" s="2280"/>
      <c r="AC39" s="1453" t="s">
        <v>511</v>
      </c>
      <c r="AD39" s="1223" t="s">
        <v>512</v>
      </c>
      <c r="AE39" s="1223" t="s">
        <v>513</v>
      </c>
      <c r="AF39" s="1456" t="s">
        <v>460</v>
      </c>
      <c r="AG39" s="2271" t="s">
        <v>461</v>
      </c>
      <c r="AH39" s="2272"/>
      <c r="AI39" s="2280"/>
      <c r="AJ39" s="2283"/>
      <c r="AK39" s="2128"/>
      <c r="AQ39" s="1156">
        <v>34</v>
      </c>
    </row>
    <row s="1642" customFormat="1" customHeight="1" ht="0">
      <c r="A40" s="1371"/>
      <c r="B40" s="1371"/>
      <c r="C40" s="1371"/>
      <c r="D40" s="1371"/>
      <c r="E40" s="1371"/>
      <c r="F40" s="1371"/>
      <c r="G40" s="1371"/>
      <c r="H40" s="1371"/>
      <c r="I40" s="1371"/>
      <c r="J40" s="1371"/>
      <c r="K40" s="1371"/>
      <c r="L40" s="1365"/>
      <c r="M40" s="1363"/>
      <c r="N40" s="1363"/>
      <c r="O40" s="1363"/>
      <c r="P40" s="1247"/>
      <c r="Q40" s="1248"/>
      <c r="R40" s="1255">
        <v>1</v>
      </c>
      <c r="S40" s="1278" t="s">
        <v>118</v>
      </c>
      <c r="T40" s="1256" t="s">
        <v>103</v>
      </c>
      <c r="U40" s="1246" t="str">
        <f>OFFSET(U40,0,-1)</f>
        <v>2</v>
      </c>
      <c r="V40" s="1452">
        <f>OFFSET(V40,0,-1)+1</f>
        <v>3</v>
      </c>
      <c r="W40" s="1452">
        <f>OFFSET(W40,0,-1)+1</f>
        <v>4</v>
      </c>
      <c r="X40" s="1452">
        <f>OFFSET(X40,0,-1)+1</f>
        <v>5</v>
      </c>
      <c r="Y40" s="1452">
        <f>OFFSET(Y40,0,-1)+1</f>
        <v>6</v>
      </c>
      <c r="Z40" s="2273">
        <f>OFFSET(Z40,0,-1)+1</f>
        <v>7</v>
      </c>
      <c r="AA40" s="2273"/>
      <c r="AB40" s="1452">
        <f>OFFSET(AB40,0,-2)+1</f>
        <v>8</v>
      </c>
      <c r="AC40" s="1452">
        <f>OFFSET(AC40,0,-1)+1</f>
        <v>9</v>
      </c>
      <c r="AD40" s="1452">
        <f>OFFSET(AD40,0,-1)+1</f>
        <v>10</v>
      </c>
      <c r="AE40" s="1452">
        <f>OFFSET(AE40,0,-1)+1</f>
        <v>11</v>
      </c>
      <c r="AF40" s="1452">
        <f>OFFSET(AF40,0,-1)+1</f>
        <v>12</v>
      </c>
      <c r="AG40" s="2273">
        <f>OFFSET(AG40,0,-1)+1</f>
        <v>13</v>
      </c>
      <c r="AH40" s="2273"/>
      <c r="AI40" s="1452">
        <f>OFFSET(AI40,0,-2)+1</f>
        <v>14</v>
      </c>
      <c r="AJ40" s="1246">
        <f>OFFSET(AJ40,0,-1)</f>
        <v>14</v>
      </c>
      <c r="AK40" s="1452">
        <f>OFFSET(AK40,0,-1)+1</f>
        <v>15</v>
      </c>
      <c r="AL40" s="512"/>
      <c r="AM40" s="512"/>
      <c r="AN40" s="512"/>
      <c r="AO40" s="512"/>
      <c r="AP40" s="512"/>
      <c r="AQ40" s="497">
        <v>0</v>
      </c>
    </row>
    <row customHeight="1" ht="24">
      <c r="A41" s="1364" t="s">
        <v>258</v>
      </c>
      <c r="B41" s="1364"/>
      <c r="C41" s="1364"/>
      <c r="D41" s="1364"/>
      <c r="E41" s="2259">
        <v>1</v>
      </c>
      <c r="F41" s="1364"/>
      <c r="G41" s="1364"/>
      <c r="H41" s="1364"/>
      <c r="I41" s="1364"/>
      <c r="J41" s="1364"/>
      <c r="K41" s="1364"/>
      <c r="L41" s="1365"/>
      <c r="M41" s="1366"/>
      <c r="N41" s="1366"/>
      <c r="O41" s="1366"/>
      <c r="P41" s="362"/>
      <c r="Q41" s="361"/>
      <c r="R41" s="356"/>
      <c r="S41" s="1458">
        <f>INDEX(PT_DIFFERENTIATION_NUM_NTAR,MATCH(A41,PT_DIFFERENTIATION_NTAR_ID,0))</f>
        <v>0</v>
      </c>
      <c r="T41" s="299" t="s">
        <v>131</v>
      </c>
      <c r="U41" s="301"/>
      <c r="V41" s="2243"/>
      <c r="W41" s="2244"/>
      <c r="X41" s="2244"/>
      <c r="Y41" s="2244"/>
      <c r="Z41" s="2244"/>
      <c r="AA41" s="2244"/>
      <c r="AB41" s="2245"/>
      <c r="AC41" s="2243" t="str">
        <f>INDEX(PT_DIFFERENTIATION_NTAR,MATCH(A41,PT_DIFFERENTIATION_NTAR_ID,0))</f>
        <v/>
      </c>
      <c r="AD41" s="2244"/>
      <c r="AE41" s="2244"/>
      <c r="AF41" s="2244"/>
      <c r="AG41" s="2244"/>
      <c r="AH41" s="2244"/>
      <c r="AI41" s="2244"/>
      <c r="AJ41" s="2245"/>
      <c r="AK41" s="1259"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M41" s="501"/>
      <c r="AN41" s="501" t="str">
        <f>IF(T41="","",T41)</f>
        <v>Наименование тарифа</v>
      </c>
      <c r="AO41" s="501"/>
      <c r="AP41" s="501"/>
      <c r="AQ41" s="1156">
        <v>23</v>
      </c>
    </row>
    <row customHeight="1" ht="24">
      <c r="A42" s="1364" t="s">
        <v>258</v>
      </c>
      <c r="B42" s="1364" t="s">
        <v>259</v>
      </c>
      <c r="C42" s="1364"/>
      <c r="D42" s="1364"/>
      <c r="E42" s="2260"/>
      <c r="F42" s="2259">
        <v>1</v>
      </c>
      <c r="G42" s="1364"/>
      <c r="H42" s="1364"/>
      <c r="I42" s="1364"/>
      <c r="J42" s="1364"/>
      <c r="K42" s="1364"/>
      <c r="L42" s="1365"/>
      <c r="M42" s="1366"/>
      <c r="N42" s="1366"/>
      <c r="O42" s="1366"/>
      <c r="P42" s="1454"/>
      <c r="Q42" s="353"/>
      <c r="R42" s="354"/>
      <c r="S42" s="1458" t="str">
        <f>INDEX(PT_DIFFERENTIATION_NUM_TER,MATCH(B42,PT_DIFFERENTIATION_TER_ID,0))</f>
        <v>.</v>
      </c>
      <c r="T42" s="309" t="s">
        <v>414</v>
      </c>
      <c r="U42" s="301"/>
      <c r="V42" s="2243"/>
      <c r="W42" s="2244"/>
      <c r="X42" s="2244"/>
      <c r="Y42" s="2244"/>
      <c r="Z42" s="2244"/>
      <c r="AA42" s="2244"/>
      <c r="AB42" s="2245"/>
      <c r="AC42" s="2243" t="str">
        <f>INDEX(PT_DIFFERENTIATION_TER,MATCH(B42,PT_DIFFERENTIATION_TER_ID,0))</f>
        <v/>
      </c>
      <c r="AD42" s="2244"/>
      <c r="AE42" s="2244"/>
      <c r="AF42" s="2244"/>
      <c r="AG42" s="2244"/>
      <c r="AH42" s="2244"/>
      <c r="AI42" s="2244"/>
      <c r="AJ42" s="2245"/>
      <c r="AK42" s="1259" t="s">
        <v>415</v>
      </c>
      <c r="AM42" s="501"/>
      <c r="AN42" s="501" t="str">
        <f>IF(T42="","",T42)</f>
        <v>Территория действия тарифа</v>
      </c>
      <c r="AO42" s="501"/>
      <c r="AP42" s="501"/>
      <c r="AQ42" s="1156">
        <v>23</v>
      </c>
    </row>
    <row customHeight="1" ht="24">
      <c r="A43" s="1364" t="s">
        <v>258</v>
      </c>
      <c r="B43" s="1364" t="s">
        <v>259</v>
      </c>
      <c r="C43" s="1364" t="s">
        <v>260</v>
      </c>
      <c r="D43" s="1364"/>
      <c r="E43" s="2260"/>
      <c r="F43" s="2260"/>
      <c r="G43" s="2259">
        <v>1</v>
      </c>
      <c r="H43" s="1364"/>
      <c r="I43" s="1364"/>
      <c r="J43" s="1364"/>
      <c r="K43" s="1364"/>
      <c r="L43" s="1365"/>
      <c r="M43" s="1366"/>
      <c r="N43" s="1366"/>
      <c r="O43" s="1366"/>
      <c r="P43" s="355"/>
      <c r="Q43" s="353"/>
      <c r="R43" s="354"/>
      <c r="S43" s="1458" t="str">
        <f>INDEX(PT_DIFFERENTIATION_NUM_CS,MATCH(C43,PT_DIFFERENTIATION_CS_ID,0))</f>
        <v>..</v>
      </c>
      <c r="T43" s="310" t="s">
        <v>500</v>
      </c>
      <c r="U43" s="301"/>
      <c r="V43" s="2243"/>
      <c r="W43" s="2244"/>
      <c r="X43" s="2244"/>
      <c r="Y43" s="2244"/>
      <c r="Z43" s="2244"/>
      <c r="AA43" s="2244"/>
      <c r="AB43" s="2245"/>
      <c r="AC43" s="2243" t="str">
        <f>INDEX(PT_DIFFERENTIATION_CS,MATCH(C43,PT_DIFFERENTIATION_CS_ID,0))</f>
        <v/>
      </c>
      <c r="AD43" s="2244"/>
      <c r="AE43" s="2244"/>
      <c r="AF43" s="2244"/>
      <c r="AG43" s="2244"/>
      <c r="AH43" s="2244"/>
      <c r="AI43" s="2244"/>
      <c r="AJ43" s="2245"/>
      <c r="AK43" s="1259" t="s">
        <v>501</v>
      </c>
      <c r="AM43" s="501"/>
      <c r="AN43" s="501" t="str">
        <f>IF(T43="","",T43)</f>
        <v>Наименование централизованной системы холодного водоснабжения</v>
      </c>
      <c r="AO43" s="501"/>
      <c r="AP43" s="501"/>
      <c r="AQ43" s="1156">
        <v>23</v>
      </c>
    </row>
    <row customHeight="1" ht="24">
      <c r="A44" s="1364" t="s">
        <v>258</v>
      </c>
      <c r="B44" s="1364" t="s">
        <v>259</v>
      </c>
      <c r="C44" s="1364" t="s">
        <v>260</v>
      </c>
      <c r="D44" s="1364" t="s">
        <v>517</v>
      </c>
      <c r="E44" s="2260"/>
      <c r="F44" s="2260"/>
      <c r="G44" s="2260"/>
      <c r="H44" s="2260"/>
      <c r="I44" s="2257" t="str">
        <f>S43&amp;".1"</f>
        <v>...1</v>
      </c>
      <c r="J44" s="1364"/>
      <c r="K44" s="1364"/>
      <c r="L44" s="1365"/>
      <c r="P44" s="2258">
        <v>1</v>
      </c>
      <c r="Q44" s="1451"/>
      <c r="R44" s="357"/>
      <c r="S44" s="1458" t="str">
        <f>$I44</f>
        <v>...1</v>
      </c>
      <c r="T44" s="286" t="s">
        <v>502</v>
      </c>
      <c r="U44" s="301"/>
      <c r="V44" s="2351"/>
      <c r="W44" s="2352"/>
      <c r="X44" s="2352"/>
      <c r="Y44" s="2352"/>
      <c r="Z44" s="2352"/>
      <c r="AA44" s="2352"/>
      <c r="AB44" s="2353"/>
      <c r="AC44" s="2354"/>
      <c r="AD44" s="2355"/>
      <c r="AE44" s="2355"/>
      <c r="AF44" s="2355"/>
      <c r="AG44" s="2355"/>
      <c r="AH44" s="2355"/>
      <c r="AI44" s="2355"/>
      <c r="AJ44" s="2356"/>
      <c r="AK44" s="1259" t="s">
        <v>503</v>
      </c>
      <c r="AM44" s="501"/>
      <c r="AN44" s="501" t="str">
        <f>IF(T44="","",T44)</f>
        <v>Наименование признака дифференциации</v>
      </c>
      <c r="AO44" s="501"/>
      <c r="AP44" s="501"/>
      <c r="AQ44" s="1156">
        <v>23</v>
      </c>
    </row>
    <row customHeight="1" ht="24">
      <c r="A45" s="1364" t="s">
        <v>258</v>
      </c>
      <c r="B45" s="1364" t="s">
        <v>259</v>
      </c>
      <c r="C45" s="1364" t="s">
        <v>260</v>
      </c>
      <c r="D45" s="1364" t="s">
        <v>517</v>
      </c>
      <c r="E45" s="2260"/>
      <c r="F45" s="2260"/>
      <c r="G45" s="2260"/>
      <c r="H45" s="2260"/>
      <c r="I45" s="2287"/>
      <c r="J45" s="2257" t="str">
        <f>I44&amp;".1"</f>
        <v>...1.1</v>
      </c>
      <c r="K45" s="1364"/>
      <c r="L45" s="1365" t="s">
        <v>423</v>
      </c>
      <c r="P45" s="2258"/>
      <c r="Q45" s="2258">
        <v>1</v>
      </c>
      <c r="R45" s="358"/>
      <c r="S45" s="1458" t="str">
        <f>$J45</f>
        <v>...1.1</v>
      </c>
      <c r="T45" s="287" t="s">
        <v>424</v>
      </c>
      <c r="U45" s="301"/>
      <c r="V45" s="2246"/>
      <c r="W45" s="2247"/>
      <c r="X45" s="2247"/>
      <c r="Y45" s="2247"/>
      <c r="Z45" s="2247"/>
      <c r="AA45" s="2247"/>
      <c r="AB45" s="2248"/>
      <c r="AC45" s="2246"/>
      <c r="AD45" s="2247"/>
      <c r="AE45" s="2247"/>
      <c r="AF45" s="2247"/>
      <c r="AG45" s="2247"/>
      <c r="AH45" s="2247"/>
      <c r="AI45" s="2247"/>
      <c r="AJ45" s="2248"/>
      <c r="AK45" s="1308" t="s">
        <v>504</v>
      </c>
      <c r="AM45" s="501"/>
      <c r="AN45" s="501" t="str">
        <f>IF(T45="","",T45)</f>
        <v>Группа потребителей</v>
      </c>
      <c r="AO45" s="501"/>
      <c r="AP45" s="501"/>
      <c r="AQ45" s="1156">
        <v>23</v>
      </c>
    </row>
    <row customHeight="1" ht="24">
      <c r="A46" s="1364" t="s">
        <v>258</v>
      </c>
      <c r="B46" s="1364" t="s">
        <v>259</v>
      </c>
      <c r="C46" s="1364" t="s">
        <v>260</v>
      </c>
      <c r="D46" s="1364" t="s">
        <v>517</v>
      </c>
      <c r="E46" s="2260"/>
      <c r="F46" s="2260"/>
      <c r="G46" s="2260"/>
      <c r="H46" s="2260"/>
      <c r="I46" s="2287"/>
      <c r="J46" s="2287"/>
      <c r="K46" s="2257" t="str">
        <f>J45&amp;".1"</f>
        <v>...1.1.1</v>
      </c>
      <c r="L46" s="1365"/>
      <c r="P46" s="2258"/>
      <c r="Q46" s="2258"/>
      <c r="R46" s="358">
        <v>1</v>
      </c>
      <c r="S46" s="1458" t="str">
        <f>$K46</f>
        <v>...1.1.1</v>
      </c>
      <c r="T46" s="1438"/>
      <c r="U46" s="301"/>
      <c r="V46" s="752"/>
      <c r="W46" s="752"/>
      <c r="X46" s="1258"/>
      <c r="Y46" s="2266"/>
      <c r="Z46" s="2108" t="s">
        <v>61</v>
      </c>
      <c r="AA46" s="2266"/>
      <c r="AB46" s="2108" t="s">
        <v>61</v>
      </c>
      <c r="AC46" s="752"/>
      <c r="AD46" s="752"/>
      <c r="AE46" s="1258"/>
      <c r="AF46" s="2266"/>
      <c r="AG46" s="2108" t="s">
        <v>61</v>
      </c>
      <c r="AH46" s="2288"/>
      <c r="AI46" s="2108" t="s">
        <v>61</v>
      </c>
      <c r="AJ46" s="1439"/>
      <c r="AK46" s="2350"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46" s="512">
        <f>STRCHECKDATE(V47:AJ47)</f>
      </c>
      <c r="AM46" s="501"/>
      <c r="AN46" s="501" t="str">
        <f>IF(T46="","",T46)</f>
        <v/>
      </c>
      <c r="AO46" s="501"/>
      <c r="AP46" s="501"/>
      <c r="AQ46" s="1156">
        <v>23</v>
      </c>
    </row>
    <row customHeight="1" ht="0">
      <c r="A47" s="1364" t="s">
        <v>258</v>
      </c>
      <c r="B47" s="1364" t="s">
        <v>259</v>
      </c>
      <c r="C47" s="1364" t="s">
        <v>260</v>
      </c>
      <c r="D47" s="1364" t="s">
        <v>517</v>
      </c>
      <c r="E47" s="2260"/>
      <c r="F47" s="2260"/>
      <c r="G47" s="2260"/>
      <c r="H47" s="2260"/>
      <c r="I47" s="2287"/>
      <c r="J47" s="2287"/>
      <c r="K47" s="2257"/>
      <c r="L47" s="1365"/>
      <c r="P47" s="2258"/>
      <c r="Q47" s="2258"/>
      <c r="R47" s="358"/>
      <c r="S47" s="1457"/>
      <c r="T47" s="301"/>
      <c r="U47" s="301"/>
      <c r="V47" s="326"/>
      <c r="W47" s="326"/>
      <c r="X47" s="329" t="str">
        <f>Y46&amp;"-"&amp;AA46</f>
        <v>-</v>
      </c>
      <c r="Y47" s="2267"/>
      <c r="Z47" s="2108"/>
      <c r="AA47" s="2267"/>
      <c r="AB47" s="2108"/>
      <c r="AC47" s="326"/>
      <c r="AD47" s="326"/>
      <c r="AE47" s="329" t="str">
        <f>AF46&amp;"-"&amp;AH46</f>
        <v>-</v>
      </c>
      <c r="AF47" s="2267"/>
      <c r="AG47" s="2108"/>
      <c r="AH47" s="2289"/>
      <c r="AI47" s="2108"/>
      <c r="AJ47" s="1440"/>
      <c r="AK47" s="2350"/>
      <c r="AM47" s="501"/>
      <c r="AN47" s="501" t="str">
        <f>IF(T47="","",T47)</f>
        <v/>
      </c>
      <c r="AO47" s="501"/>
      <c r="AP47" s="501"/>
      <c r="AQ47" s="1156">
        <v>0</v>
      </c>
    </row>
    <row customHeight="1" ht="21">
      <c r="A48" s="1364" t="s">
        <v>258</v>
      </c>
      <c r="B48" s="1364" t="s">
        <v>259</v>
      </c>
      <c r="C48" s="1364" t="s">
        <v>260</v>
      </c>
      <c r="D48" s="1364" t="s">
        <v>517</v>
      </c>
      <c r="E48" s="2260"/>
      <c r="F48" s="2260"/>
      <c r="G48" s="2260"/>
      <c r="H48" s="2260"/>
      <c r="I48" s="2287"/>
      <c r="J48" s="2257"/>
      <c r="K48" s="1364"/>
      <c r="L48" s="1365"/>
      <c r="P48" s="2258"/>
      <c r="Q48" s="2258"/>
      <c r="R48" s="357"/>
      <c r="S48" s="1279"/>
      <c r="T48" s="288" t="s">
        <v>505</v>
      </c>
      <c r="U48" s="368"/>
      <c r="V48" s="368"/>
      <c r="W48" s="368"/>
      <c r="X48" s="368"/>
      <c r="Y48" s="368"/>
      <c r="Z48" s="368"/>
      <c r="AA48" s="368"/>
      <c r="AB48" s="368"/>
      <c r="AC48" s="368"/>
      <c r="AD48" s="368"/>
      <c r="AE48" s="368"/>
      <c r="AF48" s="368"/>
      <c r="AG48" s="368"/>
      <c r="AH48" s="368"/>
      <c r="AI48" s="368"/>
      <c r="AJ48" s="368"/>
      <c r="AK48" s="1259" t="s">
        <v>506</v>
      </c>
      <c r="AM48" s="501"/>
      <c r="AN48" s="501" t="str">
        <f>IF(T48="","",T48)</f>
        <v>Добавить значение признака дифференциации</v>
      </c>
      <c r="AO48" s="501"/>
      <c r="AP48" s="501"/>
      <c r="AQ48" s="1156">
        <v>20</v>
      </c>
    </row>
    <row customHeight="1" ht="22.049999999999997">
      <c r="A49" s="1364" t="s">
        <v>258</v>
      </c>
      <c r="B49" s="1364" t="s">
        <v>259</v>
      </c>
      <c r="C49" s="1364" t="s">
        <v>260</v>
      </c>
      <c r="D49" s="1364" t="s">
        <v>517</v>
      </c>
      <c r="E49" s="2260"/>
      <c r="F49" s="2260"/>
      <c r="G49" s="2260"/>
      <c r="H49" s="2260"/>
      <c r="I49" s="2257"/>
      <c r="J49" s="1364"/>
      <c r="K49" s="1364"/>
      <c r="L49" s="1365"/>
      <c r="P49" s="2258"/>
      <c r="Q49" s="1451"/>
      <c r="R49" s="357"/>
      <c r="S49" s="1279"/>
      <c r="T49" s="366" t="s">
        <v>429</v>
      </c>
      <c r="U49" s="368"/>
      <c r="V49" s="368"/>
      <c r="W49" s="368"/>
      <c r="X49" s="368"/>
      <c r="Y49" s="368"/>
      <c r="Z49" s="368"/>
      <c r="AA49" s="368"/>
      <c r="AB49" s="367"/>
      <c r="AC49" s="368"/>
      <c r="AD49" s="368"/>
      <c r="AE49" s="368"/>
      <c r="AF49" s="368"/>
      <c r="AG49" s="368"/>
      <c r="AH49" s="368"/>
      <c r="AI49" s="367"/>
      <c r="AJ49" s="368"/>
      <c r="AK49" s="1441"/>
      <c r="AM49" s="501"/>
      <c r="AN49" s="501" t="str">
        <f>IF(T49="","",T49)</f>
        <v>Добавить группу потребителей</v>
      </c>
      <c r="AO49" s="501"/>
      <c r="AP49" s="501"/>
      <c r="AQ49" s="1156">
        <v>21</v>
      </c>
    </row>
    <row customHeight="1" ht="22.049999999999997">
      <c r="A50" s="1364" t="s">
        <v>258</v>
      </c>
      <c r="B50" s="1364" t="s">
        <v>259</v>
      </c>
      <c r="C50" s="1364" t="s">
        <v>260</v>
      </c>
      <c r="D50" s="1364" t="s">
        <v>517</v>
      </c>
      <c r="E50" s="2260"/>
      <c r="F50" s="2260"/>
      <c r="G50" s="2260"/>
      <c r="H50" s="2259"/>
      <c r="I50" s="1364"/>
      <c r="J50" s="1364"/>
      <c r="K50" s="1364"/>
      <c r="L50" s="1365"/>
      <c r="M50" s="1366"/>
      <c r="N50" s="1366"/>
      <c r="O50" s="538"/>
      <c r="P50" s="361"/>
      <c r="Q50" s="376"/>
      <c r="R50" s="356"/>
      <c r="S50" s="1279"/>
      <c r="T50" s="373" t="s">
        <v>507</v>
      </c>
      <c r="U50" s="368"/>
      <c r="V50" s="368"/>
      <c r="W50" s="368"/>
      <c r="X50" s="368"/>
      <c r="Y50" s="368"/>
      <c r="Z50" s="368"/>
      <c r="AA50" s="368"/>
      <c r="AB50" s="367"/>
      <c r="AC50" s="368"/>
      <c r="AD50" s="368"/>
      <c r="AE50" s="368"/>
      <c r="AF50" s="368"/>
      <c r="AG50" s="368"/>
      <c r="AH50" s="368"/>
      <c r="AI50" s="367"/>
      <c r="AJ50" s="368"/>
      <c r="AK50" s="304"/>
      <c r="AM50" s="501"/>
      <c r="AN50" s="501" t="str">
        <f>IF(T50="","",T50)</f>
        <v>Добавить наименование признака дифференциации</v>
      </c>
      <c r="AO50" s="501"/>
      <c r="AP50" s="501"/>
      <c r="AQ50" s="1156">
        <v>21</v>
      </c>
    </row>
    <row s="1643" customFormat="1" customHeight="1" ht="0">
      <c r="A51" s="1344" t="s">
        <v>258</v>
      </c>
      <c r="B51" s="1344" t="s">
        <v>259</v>
      </c>
      <c r="C51" s="1315"/>
      <c r="D51" s="1315"/>
      <c r="E51" s="2260"/>
      <c r="F51" s="2259"/>
      <c r="G51" s="1315"/>
      <c r="H51" s="1315"/>
      <c r="I51" s="1315"/>
      <c r="J51" s="1315"/>
      <c r="K51" s="1315"/>
      <c r="L51" s="1459"/>
      <c r="M51" s="1322"/>
      <c r="N51" s="1322"/>
      <c r="P51" s="1317"/>
      <c r="Q51" s="1318"/>
      <c r="R51" s="1317"/>
      <c r="S51" s="1323"/>
      <c r="T51" s="1326" t="s">
        <v>177</v>
      </c>
      <c r="U51" s="1325"/>
      <c r="V51" s="1325"/>
      <c r="W51" s="1325"/>
      <c r="X51" s="1325"/>
      <c r="Y51" s="1325"/>
      <c r="Z51" s="1325"/>
      <c r="AA51" s="1325"/>
      <c r="AB51" s="1325"/>
      <c r="AC51" s="1325"/>
      <c r="AD51" s="1325"/>
      <c r="AE51" s="1325"/>
      <c r="AF51" s="1325"/>
      <c r="AG51" s="1325"/>
      <c r="AH51" s="1325"/>
      <c r="AI51" s="1325"/>
      <c r="AJ51" s="1325"/>
      <c r="AK51" s="1325"/>
      <c r="AM51" s="790"/>
      <c r="AN51" s="790" t="str">
        <f>IF(T51="","",T51)</f>
        <v>Добавить централизованную систему для дифференциации</v>
      </c>
      <c r="AO51" s="790"/>
      <c r="AP51" s="790"/>
      <c r="AQ51" s="519">
        <v>0</v>
      </c>
    </row>
    <row s="1643" customFormat="1" customHeight="1" ht="0">
      <c r="A52" s="1344" t="s">
        <v>258</v>
      </c>
      <c r="B52" s="1344"/>
      <c r="C52" s="1344"/>
      <c r="D52" s="1344"/>
      <c r="E52" s="2259"/>
      <c r="F52" s="1344"/>
      <c r="G52" s="1344"/>
      <c r="H52" s="1344"/>
      <c r="I52" s="1344"/>
      <c r="J52" s="1344"/>
      <c r="K52" s="1344"/>
      <c r="L52" s="1347"/>
      <c r="M52" s="1322"/>
      <c r="N52" s="1322"/>
      <c r="O52" s="519"/>
      <c r="P52" s="381"/>
      <c r="Q52" s="1345"/>
      <c r="R52" s="381"/>
      <c r="S52" s="1323"/>
      <c r="T52" s="1326" t="s">
        <v>178</v>
      </c>
      <c r="U52" s="1325"/>
      <c r="V52" s="1325"/>
      <c r="W52" s="1325"/>
      <c r="X52" s="1325"/>
      <c r="Y52" s="1325"/>
      <c r="Z52" s="1325"/>
      <c r="AA52" s="1325"/>
      <c r="AB52" s="1325"/>
      <c r="AC52" s="1325"/>
      <c r="AD52" s="1325"/>
      <c r="AE52" s="1325"/>
      <c r="AF52" s="1325"/>
      <c r="AG52" s="1325"/>
      <c r="AH52" s="1325"/>
      <c r="AI52" s="1325"/>
      <c r="AJ52" s="1325"/>
      <c r="AK52" s="1325"/>
      <c r="AM52" s="501"/>
      <c r="AN52" s="501" t="str">
        <f>IF(T52="","",T52)</f>
        <v>Добавить территорию для дифференциации</v>
      </c>
      <c r="AO52" s="501"/>
      <c r="AP52" s="501"/>
      <c r="AQ52" s="512">
        <v>0</v>
      </c>
    </row>
    <row s="1643" customFormat="1" customHeight="1" ht="0">
      <c r="A53" s="1315"/>
      <c r="B53" s="1315"/>
      <c r="C53" s="1315"/>
      <c r="D53" s="1315"/>
      <c r="E53" s="1344"/>
      <c r="F53" s="1315"/>
      <c r="G53" s="1315"/>
      <c r="H53" s="1315"/>
      <c r="I53" s="1315"/>
      <c r="J53" s="1315"/>
      <c r="K53" s="1315"/>
      <c r="L53" s="1459"/>
      <c r="M53" s="1322"/>
      <c r="N53" s="1322"/>
      <c r="P53" s="1317"/>
      <c r="Q53" s="1318"/>
      <c r="R53" s="1317"/>
      <c r="S53" s="1323"/>
      <c r="T53" s="1326" t="s">
        <v>184</v>
      </c>
      <c r="U53" s="1325"/>
      <c r="V53" s="1325"/>
      <c r="W53" s="1325"/>
      <c r="X53" s="1325"/>
      <c r="Y53" s="1325"/>
      <c r="Z53" s="1325"/>
      <c r="AA53" s="1325"/>
      <c r="AB53" s="1325"/>
      <c r="AC53" s="1325"/>
      <c r="AD53" s="1325"/>
      <c r="AE53" s="1325"/>
      <c r="AF53" s="1325"/>
      <c r="AG53" s="1325"/>
      <c r="AH53" s="1325"/>
      <c r="AI53" s="1325"/>
      <c r="AJ53" s="1325"/>
      <c r="AK53" s="1325"/>
      <c r="AM53" s="790"/>
      <c r="AN53" s="790" t="str">
        <f>IF(T53="","",T53)</f>
        <v>Добавить наименование тарифа</v>
      </c>
      <c r="AO53" s="790"/>
      <c r="AP53" s="790"/>
      <c r="AQ53" s="519">
        <v>0</v>
      </c>
    </row>
    <row customHeight="1" ht="11.549999999999999">
      <c r="M54" s="1161"/>
      <c r="N54" s="1161"/>
      <c r="O54" s="538"/>
      <c r="P54" s="1156"/>
      <c r="Q54" s="1156"/>
      <c r="R54" s="1156"/>
      <c r="S54" s="1156"/>
      <c r="AL54" s="1156"/>
      <c r="AM54" s="1156"/>
      <c r="AN54" s="1156"/>
      <c r="AO54" s="1156"/>
      <c r="AP54" s="1156"/>
      <c r="AQ54" s="1156">
        <v>11</v>
      </c>
    </row>
    <row customHeight="1" ht="14.699999999999998">
      <c r="O55" s="538"/>
      <c r="S55" s="1254"/>
      <c r="T55" s="2286"/>
      <c r="U55" s="2286"/>
      <c r="V55" s="2286"/>
      <c r="W55" s="2286"/>
      <c r="X55" s="2286"/>
      <c r="Y55" s="2286"/>
      <c r="Z55" s="2286"/>
      <c r="AA55" s="2286"/>
      <c r="AB55" s="2286"/>
      <c r="AC55" s="2286"/>
      <c r="AD55" s="2286"/>
      <c r="AE55" s="2286"/>
      <c r="AF55" s="2286"/>
      <c r="AG55" s="2286"/>
      <c r="AH55" s="2286"/>
      <c r="AI55" s="2286"/>
      <c r="AJ55" s="2286"/>
      <c r="AK55" s="2286"/>
      <c r="AQ55" s="1156">
        <v>14</v>
      </c>
    </row>
    <row customHeight="1" ht="14.699999999999998">
      <c r="O56" s="538"/>
      <c r="AQ56" s="1156">
        <v>14</v>
      </c>
    </row>
    <row customHeight="1" ht="14.699999999999998">
      <c r="O57" s="538"/>
      <c r="S57" s="1254"/>
      <c r="T57" s="2286"/>
      <c r="U57" s="2286"/>
      <c r="V57" s="2286"/>
      <c r="W57" s="2286"/>
      <c r="X57" s="2286"/>
      <c r="Y57" s="2286"/>
      <c r="Z57" s="2286"/>
      <c r="AA57" s="2286"/>
      <c r="AB57" s="2286"/>
      <c r="AC57" s="2286"/>
      <c r="AD57" s="2286"/>
      <c r="AE57" s="2286"/>
      <c r="AF57" s="2286"/>
      <c r="AG57" s="2286"/>
      <c r="AH57" s="2286"/>
      <c r="AI57" s="2286"/>
      <c r="AJ57" s="2286"/>
      <c r="AK57" s="2286"/>
      <c r="AQ57" s="1156">
        <v>14</v>
      </c>
    </row>
    <row customHeight="1" ht="22.5" hidden="1">
      <c r="A58" s="1161" t="s">
        <v>83</v>
      </c>
      <c r="B58" s="1161">
        <v>0</v>
      </c>
      <c r="C58" s="1161">
        <v>0</v>
      </c>
      <c r="D58" s="1161">
        <v>0</v>
      </c>
      <c r="E58" s="1161">
        <v>0</v>
      </c>
      <c r="F58" s="1161">
        <v>0</v>
      </c>
      <c r="G58" s="1161">
        <v>0</v>
      </c>
      <c r="H58" s="1161">
        <v>0</v>
      </c>
      <c r="I58" s="1161">
        <v>0</v>
      </c>
      <c r="J58" s="1161">
        <v>0</v>
      </c>
      <c r="K58" s="1161">
        <v>0</v>
      </c>
      <c r="L58" s="1448">
        <v>0</v>
      </c>
      <c r="M58" s="1363">
        <v>0</v>
      </c>
      <c r="N58" s="1363">
        <v>0</v>
      </c>
      <c r="O58" s="1363">
        <v>0</v>
      </c>
      <c r="P58" s="1447">
        <v>3</v>
      </c>
      <c r="Q58" s="345">
        <v>3</v>
      </c>
      <c r="R58" s="345">
        <v>3</v>
      </c>
      <c r="S58" s="582">
        <v>12</v>
      </c>
      <c r="T58" s="1156">
        <v>35</v>
      </c>
      <c r="U58" s="1156">
        <v>0</v>
      </c>
      <c r="V58" s="1156">
        <v>0</v>
      </c>
      <c r="W58" s="1156">
        <v>0</v>
      </c>
      <c r="X58" s="1156">
        <v>0</v>
      </c>
      <c r="Y58" s="1156">
        <v>0</v>
      </c>
      <c r="Z58" s="1156">
        <v>0</v>
      </c>
      <c r="AA58" s="1156">
        <v>0</v>
      </c>
      <c r="AB58" s="1156">
        <v>0</v>
      </c>
      <c r="AC58" s="1156">
        <v>24</v>
      </c>
      <c r="AD58" s="1156">
        <v>24</v>
      </c>
      <c r="AE58" s="1156">
        <v>24</v>
      </c>
      <c r="AF58" s="1156">
        <v>11</v>
      </c>
      <c r="AG58" s="1156">
        <v>3</v>
      </c>
      <c r="AH58" s="1156">
        <v>11</v>
      </c>
      <c r="AI58" s="1156">
        <v>0</v>
      </c>
      <c r="AJ58" s="1156">
        <v>4</v>
      </c>
      <c r="AK58" s="1156">
        <v>115</v>
      </c>
      <c r="AL58" s="512">
        <v>10</v>
      </c>
      <c r="AM58" s="512">
        <v>10</v>
      </c>
      <c r="AN58" s="512">
        <v>10</v>
      </c>
      <c r="AO58" s="512">
        <v>10</v>
      </c>
      <c r="AP58" s="512">
        <v>10</v>
      </c>
      <c r="AQ58" s="1156">
        <v>23</v>
      </c>
    </row>
  </sheetData>
  <sheetProtection formatColumns="0" formatRows="0" autoFilter="0" sort="0" insertRows="0" insertColumns="1" deleteRows="0" deleteColumns="0"/>
  <mergeCells count="101">
    <mergeCell ref="AK46:AK47"/>
    <mergeCell ref="T55:AK55"/>
    <mergeCell ref="T57:AK57"/>
    <mergeCell ref="K46:K47"/>
    <mergeCell ref="Y46:Y47"/>
    <mergeCell ref="Z46:Z47"/>
    <mergeCell ref="AA46:AA47"/>
    <mergeCell ref="AB46:AB47"/>
    <mergeCell ref="AF46:AF47"/>
    <mergeCell ref="Z40:AA40"/>
    <mergeCell ref="AG40:AH40"/>
    <mergeCell ref="E41:E52"/>
    <mergeCell ref="V41:AB41"/>
    <mergeCell ref="AC41:AJ41"/>
    <mergeCell ref="F42:F51"/>
    <mergeCell ref="V42:AB42"/>
    <mergeCell ref="AC42:AJ42"/>
    <mergeCell ref="G43:G50"/>
    <mergeCell ref="V43:AB43"/>
    <mergeCell ref="AC43:AJ43"/>
    <mergeCell ref="H44:H50"/>
    <mergeCell ref="I44:I49"/>
    <mergeCell ref="P44:P49"/>
    <mergeCell ref="V44:AB44"/>
    <mergeCell ref="AC44:AJ44"/>
    <mergeCell ref="J45:J48"/>
    <mergeCell ref="Q45:Q48"/>
    <mergeCell ref="V45:AB45"/>
    <mergeCell ref="AC45:AJ45"/>
    <mergeCell ref="AG46:AG47"/>
    <mergeCell ref="AH46:AH47"/>
    <mergeCell ref="AI46:AI47"/>
    <mergeCell ref="AK36:AK39"/>
    <mergeCell ref="S37:S39"/>
    <mergeCell ref="T37:T39"/>
    <mergeCell ref="V37:AA37"/>
    <mergeCell ref="AB37:AB39"/>
    <mergeCell ref="AC37:AH37"/>
    <mergeCell ref="AI37:AI39"/>
    <mergeCell ref="S32:T32"/>
    <mergeCell ref="V32:AA32"/>
    <mergeCell ref="AC32:AH32"/>
    <mergeCell ref="S33:T33"/>
    <mergeCell ref="V33:AA33"/>
    <mergeCell ref="AC33:AH33"/>
    <mergeCell ref="AJ37:AJ39"/>
    <mergeCell ref="W38:X38"/>
    <mergeCell ref="Y38:AA38"/>
    <mergeCell ref="AD38:AE38"/>
    <mergeCell ref="AF38:AH38"/>
    <mergeCell ref="Z39:AA39"/>
    <mergeCell ref="AG39:AH39"/>
    <mergeCell ref="V35:AB35"/>
    <mergeCell ref="AC35:AI35"/>
    <mergeCell ref="S36:AJ36"/>
    <mergeCell ref="S29:T29"/>
    <mergeCell ref="V29:AA29"/>
    <mergeCell ref="AC29:AH29"/>
    <mergeCell ref="S30:T30"/>
    <mergeCell ref="V30:AA30"/>
    <mergeCell ref="AC30:AH30"/>
    <mergeCell ref="S24:AH24"/>
    <mergeCell ref="S25:AH25"/>
    <mergeCell ref="S27:T27"/>
    <mergeCell ref="V27:AA27"/>
    <mergeCell ref="AC27:AH27"/>
    <mergeCell ref="S28:T28"/>
    <mergeCell ref="V28:AA28"/>
    <mergeCell ref="AC28:AH28"/>
    <mergeCell ref="AK7:AK8"/>
    <mergeCell ref="AF15:AF16"/>
    <mergeCell ref="AG15:AG16"/>
    <mergeCell ref="AH15:AH16"/>
    <mergeCell ref="AI15:AI16"/>
    <mergeCell ref="Z7:Z8"/>
    <mergeCell ref="AA7:AA8"/>
    <mergeCell ref="AB7:AB8"/>
    <mergeCell ref="AF7:AF8"/>
    <mergeCell ref="AG7:AG8"/>
    <mergeCell ref="AH7:AH8"/>
    <mergeCell ref="E2:E13"/>
    <mergeCell ref="V2:AB2"/>
    <mergeCell ref="AC2:AJ2"/>
    <mergeCell ref="F3:F12"/>
    <mergeCell ref="V3:AB3"/>
    <mergeCell ref="AC3:AJ3"/>
    <mergeCell ref="G4:G11"/>
    <mergeCell ref="V4:AB4"/>
    <mergeCell ref="AC4:AJ4"/>
    <mergeCell ref="H5:H11"/>
    <mergeCell ref="I5:I10"/>
    <mergeCell ref="P5:P10"/>
    <mergeCell ref="V5:AB5"/>
    <mergeCell ref="AC5:AJ5"/>
    <mergeCell ref="J6:J9"/>
    <mergeCell ref="Q6:Q9"/>
    <mergeCell ref="V6:AB6"/>
    <mergeCell ref="AC6:AJ6"/>
    <mergeCell ref="K7:K8"/>
    <mergeCell ref="Y7:Y8"/>
    <mergeCell ref="AI7:AI8"/>
  </mergeCells>
  <dataValidations count="8">
    <dataValidation allowBlank="1" promptTitle="checkPeriodRange" sqref="X65579 X131115 X196651 X262187 X327723 X393259 X458795 X524331 X589867 X655403 X720939 X786475 X852011 X917547 X983083 AE16 AE65579 AE131115 AE196651 AE262187 AE327723 AE393259 AE458795 AE524331 AE589867 AE655403 AE720939 AE786475 AE852011 AE917547 AE983083 X47 AE8 X8 AE47"/>
    <dataValidation type="list" allowBlank="1" showInputMessage="1" showErrorMessage="1" errorTitle="Ошибка" error="Выберите значение из списка" sqref="V983080 V65576 V131112 V196648 V262184 V327720 V393256 V458792 V524328 V589864 V655400 V720936 V786472 V852008 V917544 AC983080 AC65576 AC131112 AC196648 AC262184 AC327720 AC393256 AC458792 AC524328 AC589864 AC655400 AC720936 AC786472 AC852008 AC917544">
      <formula1>kind_of_scheme_in</formula1>
    </dataValidation>
    <dataValidation type="textLength" operator="lessThanOrEqual" allowBlank="1" showInputMessage="1" showErrorMessage="1" errorTitle="Ошибка" error="Допускается ввод не более 900 символов!" sqref="AK65572:AK65579 AK131108:AK131115 AK196644:AK196651 AK262180:AK262187 AK327716:AK327723 AK393252:AK393259 AK458788:AK458795 AK524324:AK524331 AK589860:AK589867 AK655396:AK655403 AK720932:AK720939 AK786468:AK786475 AK852004:AK852011 AK917540:AK917547 AK983076:AK983083 T46 T7 AC44:AJ44 AC5:AJ5">
      <formula1>900</formula1>
    </dataValidation>
    <dataValidation type="list" allowBlank="1" showInputMessage="1" showErrorMessage="1" errorTitle="Ошибка" error="Выберите значение из списка" sqref="T65578 T131114 T196650 T262186 T327722 T393258 T458794 T524330 T589866 T655402 T720938 T786474 T852010 T917546 T983082">
      <formula1>kind_of_heat_transfer</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Y65578 Y131114 Y196650 Y262186 Y327722 Y393258 Y458794 Y524330 Y589866 Y655402 Y720938 Y786474 Y852010 Y917546 Y983082 AA65578 AA131114 AA196650 AA262186 AA327722 AA393258 AA458794 AA524330 AA589866 AA655402 AA720938 AA786474 AA852010 AA917546 AA983082 AF15 AF65578 AF131114 AF196650 AF262186 AF327722 AF393258 AF458794 AF524330 AF589866 AF655402 AF720938 AF786474 AF852010 AF917546 AF983082 AH65578 AH131114 AH196650 AH262186 AH327722 AH393258 AH458794 AH524330 AH589866 AH655402 AH720938 AH786474 AH852010 AH917546 AH983082 AH46 AF46 AH15 Y46 AA46 AH7 AF7 Y7 AA7"/>
    <dataValidation allowBlank="1" showInputMessage="1" showErrorMessage="1" prompt="Для выбора выполните двойной щелчок левой клавиши мыши по соответствующей ячейке." sqref="Z65578 Z131114 Z196650 Z262186 Z327722 Z393258 Z458794 Z524330 Z589866 Z655402 Z720938 Z786474 Z852010 Z917546 Z983082 AB131114 AB458794 AB196650 AB262186 AB327722 AB393258 AB524330 AB589866 AB655402 AB720938 AB786474 AB852010 AB917546 AB983082 AB65578 AG65578 AG131114 AG196650 AG262186 AG327722 AG393258 AG458794 AG524330 AG589866 AG655402 AG720938 AG786474 AG852010 AG917546 AG983082 AI46 AI524330 AI196650 AI589866 AI655402 AI15 AI720938 AI786474 AI852010 AI917546 AI983082 AI65578 AI131114 AI458794 AI262186 AG46 AI7 Z46 AB46 AG15 AG7 Z7 AB7 AI327722 AI393258"/>
    <dataValidation allowBlank="1" sqref="S131116:AK131122 S196652:AK196658 S262188:AK262194 S327724:AK327730 S393260:AK393266 S458796:AK458802 S524332:AK524338 S589868:AK589874 S655404:AK655410 S720940:AK720946 S786476:AK786482 S852012:AK852018 S917548:AK917554 S983084:AK983090 S65580:AK65586"/>
    <dataValidation type="list" allowBlank="1" showInputMessage="1" errorTitle="Ошибка" error="Выберите значение из списка" prompt="Выберите значение из списка" sqref="V983081:AJ983081 V65577:AJ65577 V131113:AJ131113 V196649:AJ196649 V262185:AJ262185 V327721:AJ327721 V393257:AJ393257 V458793:AJ458793 V524329:AJ524329 V589865:AJ589865 V655401:AJ655401 V720937:AJ720937 V786473:AJ786473 V852009:AJ852009 V917545:AJ917545">
      <formula1>kind_of_cons</formula1>
    </dataValidation>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4DBCD778-AF38-0D93-1119-B53CB8F4717C}" mc:Ignorable="x14ac xr xr2 xr3">
  <sheetPr>
    <tabColor theme="6" tint="0.4"/>
  </sheetPr>
  <dimension ref="A1:AQ64"/>
  <sheetViews>
    <sheetView showGridLines="0" zoomScale="90" workbookViewId="0">
      <pane xSplit="27" ySplit="41" topLeftCell="AB42" activePane="bottomRight" state="frozen"/>
      <selection pane="bottomLeft" activeCell="A42" sqref="A42"/>
      <selection pane="topRight" activeCell="AB1" sqref="AB1"/>
      <selection pane="bottomRight" activeCell="A1" sqref="A1"/>
    </sheetView>
  </sheetViews>
  <sheetFormatPr defaultColWidth="10.57421875" customHeight="1" defaultRowHeight="14.25"/>
  <cols>
    <col min="1" max="3" style="1636" width="10.140625" hidden="1" customWidth="1"/>
    <col min="4" max="4" style="1636" width="11.8515625" hidden="1" customWidth="1"/>
    <col min="5" max="11" style="1636" width="10.140625" hidden="1" customWidth="1"/>
    <col min="12" max="12" style="2126" width="10.140625" hidden="1" customWidth="1"/>
    <col min="13" max="15" style="2398" width="10.140625" hidden="1" customWidth="1"/>
    <col min="16" max="16" style="1777" width="3.00390625" customWidth="1"/>
    <col min="17" max="17" style="1372" width="3.00390625" customWidth="1"/>
    <col min="18" max="18" style="345" width="3.00390625" customWidth="1"/>
    <col min="19" max="19" style="2408" width="12.00390625" customWidth="1"/>
    <col min="20" max="20" style="1636" width="31.00390625" customWidth="1"/>
    <col min="21" max="21" style="1636" width="0.140625" customWidth="1"/>
    <col min="22" max="23" style="1636" width="21.7109375" hidden="1" customWidth="1"/>
    <col min="24" max="24" style="1636" width="11.7109375" hidden="1" customWidth="1"/>
    <col min="25" max="25" style="1636" width="3.7109375" hidden="1" customWidth="1"/>
    <col min="26" max="26" style="1636" width="11.7109375" hidden="1" customWidth="1"/>
    <col min="27" max="27" style="1636" width="8.57421875" hidden="1" customWidth="1"/>
    <col min="28" max="28" style="1636" width="27.00390625" customWidth="1"/>
    <col min="29" max="29" style="1636" width="24.57421875" customWidth="1"/>
    <col min="30" max="31" style="1636" width="21.00390625" customWidth="1"/>
    <col min="32" max="32" style="1636" width="11.00390625" customWidth="1"/>
    <col min="33" max="33" style="1636" width="3.7109375" customWidth="1"/>
    <col min="34" max="34" style="1636" width="11.00390625" customWidth="1"/>
    <col min="35" max="35" style="1636" width="8.57421875" hidden="1" customWidth="1"/>
    <col min="36" max="36" style="1636" width="4.00390625" customWidth="1"/>
    <col min="37" max="37" style="1636" width="115.00390625" customWidth="1"/>
    <col min="38" max="42" style="1643" width="10.00390625" customWidth="1"/>
    <col min="43" max="43" style="1636" width="10.57421875" hidden="1"/>
  </cols>
  <sheetData>
    <row customHeight="1" ht="0.75" hidden="1">
      <c r="AQ1" s="1632" t="s">
        <v>14</v>
      </c>
    </row>
    <row customHeight="1" ht="21" hidden="1">
      <c r="A2" s="1268"/>
      <c r="B2" s="1268"/>
      <c r="C2" s="1268"/>
      <c r="D2" s="1268"/>
      <c r="E2" s="2290">
        <v>1</v>
      </c>
      <c r="F2" s="1268"/>
      <c r="G2" s="1268"/>
      <c r="H2" s="1268"/>
      <c r="I2" s="1268"/>
      <c r="J2" s="1268"/>
      <c r="K2" s="1268"/>
      <c r="L2" s="1311"/>
      <c r="M2" s="1611"/>
      <c r="N2" s="1611"/>
      <c r="O2" s="1611"/>
      <c r="P2" s="1410"/>
      <c r="Q2" s="874"/>
      <c r="R2" s="356"/>
      <c r="S2" s="1959">
        <f>INDEX(PT_DIFFERENTIATION_NUM_NTAR,MATCH(A2,PT_DIFFERENTIATION_NTAR_ID,0))</f>
      </c>
      <c r="T2" s="1526" t="s">
        <v>131</v>
      </c>
      <c r="U2" s="301"/>
      <c r="V2" s="2244"/>
      <c r="W2" s="2244"/>
      <c r="X2" s="2244"/>
      <c r="Y2" s="2244"/>
      <c r="Z2" s="2244"/>
      <c r="AA2" s="2245"/>
      <c r="AB2" s="1953"/>
      <c r="AC2" s="2244">
        <f>INDEX(PT_DIFFERENTIATION_NTAR,MATCH(A2,PT_DIFFERENTIATION_NTAR_ID,0))</f>
      </c>
      <c r="AD2" s="2244"/>
      <c r="AE2" s="2244"/>
      <c r="AF2" s="2244"/>
      <c r="AG2" s="2244"/>
      <c r="AH2" s="2244"/>
      <c r="AI2" s="2244"/>
      <c r="AJ2" s="2245"/>
      <c r="AK2" s="1259" t="s">
        <v>413</v>
      </c>
      <c r="AM2" s="1625"/>
      <c r="AN2" s="1625" t="str">
        <f>IF(T2="","",T2)</f>
        <v>Наименование тарифа</v>
      </c>
      <c r="AO2" s="1625"/>
      <c r="AP2" s="1625"/>
      <c r="AQ2" s="1632">
        <v>0</v>
      </c>
    </row>
    <row customHeight="1" ht="21" hidden="1">
      <c r="A3" s="1268"/>
      <c r="B3" s="1268"/>
      <c r="C3" s="1268"/>
      <c r="D3" s="1268"/>
      <c r="E3" s="2291"/>
      <c r="F3" s="2290">
        <v>1</v>
      </c>
      <c r="G3" s="1268"/>
      <c r="H3" s="1268"/>
      <c r="I3" s="1268"/>
      <c r="J3" s="1268"/>
      <c r="K3" s="1268"/>
      <c r="L3" s="1311"/>
      <c r="M3" s="1611"/>
      <c r="N3" s="1611"/>
      <c r="O3" s="1611"/>
      <c r="P3" s="1970"/>
      <c r="Q3" s="1412"/>
      <c r="R3" s="354"/>
      <c r="S3" s="1959">
        <f>INDEX(PT_DIFFERENTIATION_NUM_TER,MATCH(B3,PT_DIFFERENTIATION_TER_ID,0))</f>
      </c>
      <c r="T3" s="1523" t="s">
        <v>414</v>
      </c>
      <c r="U3" s="301"/>
      <c r="V3" s="2244"/>
      <c r="W3" s="2244"/>
      <c r="X3" s="2244"/>
      <c r="Y3" s="2244"/>
      <c r="Z3" s="2244"/>
      <c r="AA3" s="2245"/>
      <c r="AB3" s="1953"/>
      <c r="AC3" s="2244">
        <f>INDEX(PT_DIFFERENTIATION_TER,MATCH(B3,PT_DIFFERENTIATION_TER_ID,0))</f>
      </c>
      <c r="AD3" s="2244"/>
      <c r="AE3" s="2244"/>
      <c r="AF3" s="2244"/>
      <c r="AG3" s="2244"/>
      <c r="AH3" s="2244"/>
      <c r="AI3" s="2244"/>
      <c r="AJ3" s="2245"/>
      <c r="AK3" s="1259" t="s">
        <v>415</v>
      </c>
      <c r="AM3" s="1625"/>
      <c r="AN3" s="1625" t="str">
        <f>IF(T3="","",T3)</f>
        <v>Территория действия тарифа</v>
      </c>
      <c r="AO3" s="1625"/>
      <c r="AP3" s="1625"/>
      <c r="AQ3" s="1632">
        <v>0</v>
      </c>
    </row>
    <row customHeight="1" ht="22.5" hidden="1">
      <c r="A4" s="1268"/>
      <c r="B4" s="1268"/>
      <c r="C4" s="1268"/>
      <c r="D4" s="1268"/>
      <c r="E4" s="2291"/>
      <c r="F4" s="2291"/>
      <c r="G4" s="2290">
        <v>1</v>
      </c>
      <c r="H4" s="1268"/>
      <c r="I4" s="1268"/>
      <c r="J4" s="1268"/>
      <c r="K4" s="1268"/>
      <c r="L4" s="1311"/>
      <c r="M4" s="1611"/>
      <c r="N4" s="1611"/>
      <c r="O4" s="1611"/>
      <c r="P4" s="1413"/>
      <c r="Q4" s="1412"/>
      <c r="R4" s="354"/>
      <c r="S4" s="1959">
        <f>INDEX(PT_DIFFERENTIATION_NUM_CS,MATCH(C4,PT_DIFFERENTIATION_CS_ID,0))</f>
      </c>
      <c r="T4" s="310" t="s">
        <v>416</v>
      </c>
      <c r="U4" s="301"/>
      <c r="V4" s="2244"/>
      <c r="W4" s="2244"/>
      <c r="X4" s="2244"/>
      <c r="Y4" s="2244"/>
      <c r="Z4" s="2244"/>
      <c r="AA4" s="2245"/>
      <c r="AB4" s="1953"/>
      <c r="AC4" s="2244">
        <f>INDEX(PT_DIFFERENTIATION_CS,MATCH(C4,PT_DIFFERENTIATION_CS_ID,0))</f>
      </c>
      <c r="AD4" s="2244"/>
      <c r="AE4" s="2244"/>
      <c r="AF4" s="2244"/>
      <c r="AG4" s="2244"/>
      <c r="AH4" s="2244"/>
      <c r="AI4" s="2244"/>
      <c r="AJ4" s="2245"/>
      <c r="AK4" s="1259" t="s">
        <v>417</v>
      </c>
      <c r="AM4" s="1625"/>
      <c r="AN4" s="1625" t="str">
        <f>IF(T4="","",T4)</f>
        <v>Наименование системы теплоснабжения </v>
      </c>
      <c r="AO4" s="1625"/>
      <c r="AP4" s="1625"/>
      <c r="AQ4" s="1632">
        <v>0</v>
      </c>
    </row>
    <row customHeight="1" ht="21" hidden="1">
      <c r="A5" s="1268"/>
      <c r="B5" s="1268"/>
      <c r="C5" s="1268"/>
      <c r="D5" s="1268"/>
      <c r="E5" s="2291"/>
      <c r="F5" s="2291"/>
      <c r="G5" s="2291"/>
      <c r="H5" s="2290">
        <v>1</v>
      </c>
      <c r="I5" s="1268"/>
      <c r="J5" s="1268"/>
      <c r="K5" s="1268"/>
      <c r="L5" s="1311"/>
      <c r="M5" s="1611"/>
      <c r="N5" s="1611"/>
      <c r="O5" s="1611"/>
      <c r="P5" s="1413"/>
      <c r="Q5" s="1412"/>
      <c r="R5" s="354"/>
      <c r="S5" s="1959">
        <f>INDEX(PT_DIFFERENTIATION_NUM_IST_TE,MATCH(D5,PT_DIFFERENTIATION_IST_TE_ID,0))</f>
      </c>
      <c r="T5" s="311" t="s">
        <v>418</v>
      </c>
      <c r="U5" s="301"/>
      <c r="V5" s="2244"/>
      <c r="W5" s="2244"/>
      <c r="X5" s="2244"/>
      <c r="Y5" s="2244"/>
      <c r="Z5" s="2244"/>
      <c r="AA5" s="2245"/>
      <c r="AB5" s="1953"/>
      <c r="AC5" s="2244">
        <f>INDEX(PT_DIFFERENTIATION_IST_TE,MATCH(D5,PT_DIFFERENTIATION_IST_TE_ID,0))</f>
      </c>
      <c r="AD5" s="2244"/>
      <c r="AE5" s="2244"/>
      <c r="AF5" s="2244"/>
      <c r="AG5" s="2244"/>
      <c r="AH5" s="2244"/>
      <c r="AI5" s="2244"/>
      <c r="AJ5" s="2245"/>
      <c r="AK5" s="1259" t="s">
        <v>419</v>
      </c>
      <c r="AM5" s="1625"/>
      <c r="AN5" s="1625" t="str">
        <f>IF(T5="","",T5)</f>
        <v>Источник тепловой энергии  </v>
      </c>
      <c r="AO5" s="1625"/>
      <c r="AP5" s="1625"/>
      <c r="AQ5" s="1632">
        <v>0</v>
      </c>
    </row>
    <row s="1643" customFormat="1" customHeight="1" ht="0.75" hidden="1">
      <c r="A6" s="1376"/>
      <c r="B6" s="1376"/>
      <c r="C6" s="1376"/>
      <c r="D6" s="1376"/>
      <c r="E6" s="2291"/>
      <c r="F6" s="2291"/>
      <c r="G6" s="2291"/>
      <c r="H6" s="2291"/>
      <c r="I6" s="2128">
        <f>S5&amp;".1"</f>
      </c>
      <c r="J6" s="1376"/>
      <c r="K6" s="1376"/>
      <c r="L6" s="1382" t="s">
        <v>420</v>
      </c>
      <c r="M6" s="1247"/>
      <c r="N6" s="1247"/>
      <c r="O6" s="1247"/>
      <c r="P6" s="2258">
        <v>1</v>
      </c>
      <c r="Q6" s="1955"/>
      <c r="R6" s="357"/>
      <c r="S6" s="1043"/>
      <c r="T6" s="1384"/>
      <c r="U6" s="1385"/>
      <c r="V6" s="2298"/>
      <c r="W6" s="2298"/>
      <c r="X6" s="2298"/>
      <c r="Y6" s="2298"/>
      <c r="Z6" s="2298"/>
      <c r="AA6" s="2299"/>
      <c r="AB6" s="1961"/>
      <c r="AC6" s="2298"/>
      <c r="AD6" s="2298"/>
      <c r="AE6" s="2298"/>
      <c r="AF6" s="2298"/>
      <c r="AG6" s="2298"/>
      <c r="AH6" s="2298"/>
      <c r="AI6" s="2298"/>
      <c r="AJ6" s="2299"/>
      <c r="AK6" s="1386"/>
      <c r="AM6" s="1625"/>
      <c r="AN6" s="1625" t="str">
        <f>IF(T6="","",T6)</f>
        <v/>
      </c>
      <c r="AO6" s="1625"/>
      <c r="AP6" s="1625"/>
      <c r="AQ6" s="1637">
        <v>0</v>
      </c>
    </row>
    <row s="1643" customFormat="1" customHeight="1" ht="0.75" hidden="1">
      <c r="A7" s="1376"/>
      <c r="B7" s="1376"/>
      <c r="C7" s="1376"/>
      <c r="D7" s="1376"/>
      <c r="E7" s="2291"/>
      <c r="F7" s="2291"/>
      <c r="G7" s="2291"/>
      <c r="H7" s="2291"/>
      <c r="I7" s="2102"/>
      <c r="J7" s="2128">
        <f>S5&amp;".1"</f>
      </c>
      <c r="K7" s="1376"/>
      <c r="L7" s="1382"/>
      <c r="M7" s="1247"/>
      <c r="N7" s="1247"/>
      <c r="O7" s="1247"/>
      <c r="P7" s="2258"/>
      <c r="Q7" s="2258">
        <v>1</v>
      </c>
      <c r="R7" s="358"/>
      <c r="S7" s="1043"/>
      <c r="T7" s="1400"/>
      <c r="U7" s="1385"/>
      <c r="V7" s="2298"/>
      <c r="W7" s="2298"/>
      <c r="X7" s="2298"/>
      <c r="Y7" s="2298"/>
      <c r="Z7" s="2298"/>
      <c r="AA7" s="2299"/>
      <c r="AB7" s="1961"/>
      <c r="AC7" s="2298"/>
      <c r="AD7" s="2298"/>
      <c r="AE7" s="2298"/>
      <c r="AF7" s="2298"/>
      <c r="AG7" s="2298"/>
      <c r="AH7" s="2298"/>
      <c r="AI7" s="2298"/>
      <c r="AJ7" s="2299"/>
      <c r="AK7" s="1386"/>
      <c r="AM7" s="1625"/>
      <c r="AN7" s="1625" t="str">
        <f>IF(T7="","",T7)</f>
        <v/>
      </c>
      <c r="AO7" s="1625"/>
      <c r="AP7" s="1625"/>
      <c r="AQ7" s="1637">
        <v>0</v>
      </c>
    </row>
    <row customHeight="1" ht="21" hidden="1">
      <c r="A8" s="1268"/>
      <c r="B8" s="1268"/>
      <c r="C8" s="1268"/>
      <c r="D8" s="1268"/>
      <c r="E8" s="2291"/>
      <c r="F8" s="2291"/>
      <c r="G8" s="2291"/>
      <c r="H8" s="2291"/>
      <c r="I8" s="2102"/>
      <c r="J8" s="2102"/>
      <c r="K8" s="1992">
        <f>S5&amp;".1"</f>
      </c>
      <c r="L8" s="1311"/>
      <c r="P8" s="2258"/>
      <c r="Q8" s="2258"/>
      <c r="R8" s="1996">
        <v>1</v>
      </c>
      <c r="S8" s="1994">
        <f>$K8</f>
      </c>
      <c r="T8" s="1995"/>
      <c r="U8" s="301"/>
      <c r="V8" s="752"/>
      <c r="W8" s="1258"/>
      <c r="X8" s="1993"/>
      <c r="Y8" s="1991" t="s">
        <v>61</v>
      </c>
      <c r="Z8" s="1993"/>
      <c r="AA8" s="1991" t="s">
        <v>61</v>
      </c>
      <c r="AB8" s="1997"/>
      <c r="AC8" s="1998" t="s">
        <v>28</v>
      </c>
      <c r="AD8" s="752"/>
      <c r="AE8" s="1258"/>
      <c r="AF8" s="1956"/>
      <c r="AG8" s="1943" t="s">
        <v>61</v>
      </c>
      <c r="AH8" s="1956"/>
      <c r="AI8" s="1943" t="s">
        <v>61</v>
      </c>
      <c r="AJ8" s="1349"/>
      <c r="AK8" s="2254" t="s">
        <v>483</v>
      </c>
      <c r="AL8" s="1637">
        <f>STRCHECKDATE(#REF!)</f>
      </c>
      <c r="AM8" s="1625"/>
      <c r="AN8" s="1625" t="str">
        <f>IF(T8="","",T8)</f>
        <v/>
      </c>
      <c r="AO8" s="1625"/>
      <c r="AP8" s="1625"/>
      <c r="AQ8" s="1632">
        <v>0</v>
      </c>
    </row>
    <row customHeight="1" ht="11.25" hidden="1">
      <c r="A9" s="1268"/>
      <c r="B9" s="1268"/>
      <c r="C9" s="1268"/>
      <c r="D9" s="1268"/>
      <c r="E9" s="2291"/>
      <c r="F9" s="2291"/>
      <c r="G9" s="2291"/>
      <c r="H9" s="2291"/>
      <c r="I9" s="2102"/>
      <c r="J9" s="2128"/>
      <c r="K9" s="1268"/>
      <c r="L9" s="1311"/>
      <c r="P9" s="2258"/>
      <c r="Q9" s="2258"/>
      <c r="R9" s="357"/>
      <c r="S9" s="1279"/>
      <c r="T9" s="288" t="s">
        <v>487</v>
      </c>
      <c r="U9" s="601"/>
      <c r="V9" s="601"/>
      <c r="W9" s="601"/>
      <c r="X9" s="601"/>
      <c r="Y9" s="601"/>
      <c r="Z9" s="601"/>
      <c r="AA9" s="601"/>
      <c r="AB9" s="601"/>
      <c r="AC9" s="601"/>
      <c r="AD9" s="601"/>
      <c r="AE9" s="601"/>
      <c r="AF9" s="601"/>
      <c r="AG9" s="601"/>
      <c r="AH9" s="601"/>
      <c r="AI9" s="601"/>
      <c r="AJ9" s="325"/>
      <c r="AK9" s="2256"/>
      <c r="AM9" s="1625"/>
      <c r="AN9" s="1625" t="str">
        <f>IF(T9="","",T9)</f>
        <v>Добавить строку</v>
      </c>
      <c r="AO9" s="1625"/>
      <c r="AP9" s="1625"/>
      <c r="AQ9" s="1632">
        <v>0</v>
      </c>
    </row>
    <row s="1643" customFormat="1" customHeight="1" ht="0.75" hidden="1">
      <c r="A10" s="1376"/>
      <c r="B10" s="1376"/>
      <c r="C10" s="1376"/>
      <c r="D10" s="1376"/>
      <c r="E10" s="2291"/>
      <c r="F10" s="2291"/>
      <c r="G10" s="2291"/>
      <c r="H10" s="2291"/>
      <c r="I10" s="2128"/>
      <c r="J10" s="1376"/>
      <c r="K10" s="1376"/>
      <c r="L10" s="1382"/>
      <c r="M10" s="1247"/>
      <c r="N10" s="1247"/>
      <c r="O10" s="1247"/>
      <c r="P10" s="2258"/>
      <c r="Q10" s="1955"/>
      <c r="R10" s="357"/>
      <c r="S10" s="1387"/>
      <c r="T10" s="1388"/>
      <c r="U10" s="1389"/>
      <c r="V10" s="1389"/>
      <c r="W10" s="1389"/>
      <c r="X10" s="1389"/>
      <c r="Y10" s="1389"/>
      <c r="Z10" s="1389"/>
      <c r="AA10" s="1389"/>
      <c r="AB10" s="1389"/>
      <c r="AC10" s="1389"/>
      <c r="AD10" s="1389"/>
      <c r="AE10" s="1389"/>
      <c r="AF10" s="1389"/>
      <c r="AG10" s="1389"/>
      <c r="AH10" s="1389"/>
      <c r="AI10" s="1389"/>
      <c r="AJ10" s="1389"/>
      <c r="AK10" s="1390"/>
      <c r="AM10" s="1625"/>
      <c r="AN10" s="1625" t="str">
        <f>IF(T10="","",T10)</f>
        <v/>
      </c>
      <c r="AO10" s="1625"/>
      <c r="AP10" s="1625"/>
      <c r="AQ10" s="1637">
        <v>0</v>
      </c>
    </row>
    <row s="1643" customFormat="1" customHeight="1" ht="0.75" hidden="1">
      <c r="A11" s="1376"/>
      <c r="B11" s="1376"/>
      <c r="C11" s="1376"/>
      <c r="D11" s="1376"/>
      <c r="E11" s="2291"/>
      <c r="F11" s="2291"/>
      <c r="G11" s="2291"/>
      <c r="H11" s="2290"/>
      <c r="I11" s="1376"/>
      <c r="J11" s="1376"/>
      <c r="K11" s="1376"/>
      <c r="L11" s="1382"/>
      <c r="M11" s="1379"/>
      <c r="N11" s="1379"/>
      <c r="O11" s="352"/>
      <c r="P11" s="381"/>
      <c r="Q11" s="1345"/>
      <c r="R11" s="1402"/>
      <c r="S11" s="1387"/>
      <c r="T11" s="1388"/>
      <c r="U11" s="1389"/>
      <c r="V11" s="1389"/>
      <c r="W11" s="1389"/>
      <c r="X11" s="1389"/>
      <c r="Y11" s="1389"/>
      <c r="Z11" s="1389"/>
      <c r="AA11" s="1389"/>
      <c r="AB11" s="1389"/>
      <c r="AC11" s="1389"/>
      <c r="AD11" s="1389"/>
      <c r="AE11" s="1389"/>
      <c r="AF11" s="1389"/>
      <c r="AG11" s="1389"/>
      <c r="AH11" s="1389"/>
      <c r="AI11" s="1389"/>
      <c r="AJ11" s="1389"/>
      <c r="AK11" s="1390"/>
      <c r="AM11" s="1625"/>
      <c r="AN11" s="1625" t="str">
        <f>IF(T11="","",T11)</f>
        <v/>
      </c>
      <c r="AO11" s="1625"/>
      <c r="AP11" s="1625"/>
      <c r="AQ11" s="1637">
        <v>0</v>
      </c>
    </row>
    <row s="1643" customFormat="1" customHeight="1" ht="0.75" hidden="1">
      <c r="A12" s="1376"/>
      <c r="B12" s="1376"/>
      <c r="C12" s="1376"/>
      <c r="D12" s="1375"/>
      <c r="E12" s="2291"/>
      <c r="F12" s="2291"/>
      <c r="G12" s="2290"/>
      <c r="H12" s="1375"/>
      <c r="I12" s="1375"/>
      <c r="J12" s="1375"/>
      <c r="K12" s="1375"/>
      <c r="L12" s="1378"/>
      <c r="M12" s="1379"/>
      <c r="N12" s="1379"/>
      <c r="O12" s="352"/>
      <c r="P12" s="1317"/>
      <c r="Q12" s="1318"/>
      <c r="R12" s="1317"/>
      <c r="S12" s="1323"/>
      <c r="T12" s="1326" t="s">
        <v>176</v>
      </c>
      <c r="U12" s="1325"/>
      <c r="V12" s="1325"/>
      <c r="W12" s="1325"/>
      <c r="X12" s="1325"/>
      <c r="Y12" s="1325"/>
      <c r="Z12" s="1325"/>
      <c r="AA12" s="1325"/>
      <c r="AB12" s="1325"/>
      <c r="AC12" s="1325"/>
      <c r="AD12" s="1325"/>
      <c r="AE12" s="1325"/>
      <c r="AF12" s="1325"/>
      <c r="AG12" s="1325"/>
      <c r="AH12" s="1325"/>
      <c r="AI12" s="1325"/>
      <c r="AJ12" s="1325"/>
      <c r="AK12" s="1325"/>
      <c r="AM12" s="1252"/>
      <c r="AN12" s="1252" t="str">
        <f>IF(T12="","",T12)</f>
        <v>Добавить источник для дифференциации</v>
      </c>
      <c r="AO12" s="1252"/>
      <c r="AP12" s="1252"/>
      <c r="AQ12" s="1643">
        <v>0</v>
      </c>
    </row>
    <row s="1643" customFormat="1" customHeight="1" ht="0.75" hidden="1">
      <c r="A13" s="1376"/>
      <c r="B13" s="1376"/>
      <c r="C13" s="1375"/>
      <c r="D13" s="1375"/>
      <c r="E13" s="2291"/>
      <c r="F13" s="2290"/>
      <c r="G13" s="1375"/>
      <c r="H13" s="1375"/>
      <c r="I13" s="1375"/>
      <c r="J13" s="1375"/>
      <c r="K13" s="1375"/>
      <c r="L13" s="1378"/>
      <c r="M13" s="1380"/>
      <c r="N13" s="1380"/>
      <c r="O13" s="352"/>
      <c r="P13" s="1317"/>
      <c r="Q13" s="1318"/>
      <c r="R13" s="1317"/>
      <c r="S13" s="1323"/>
      <c r="T13" s="1326" t="s">
        <v>177</v>
      </c>
      <c r="U13" s="1325"/>
      <c r="V13" s="1325"/>
      <c r="W13" s="1325"/>
      <c r="X13" s="1325"/>
      <c r="Y13" s="1325"/>
      <c r="Z13" s="1325"/>
      <c r="AA13" s="1325"/>
      <c r="AB13" s="1325"/>
      <c r="AC13" s="1325"/>
      <c r="AD13" s="1325"/>
      <c r="AE13" s="1325"/>
      <c r="AF13" s="1325"/>
      <c r="AG13" s="1325"/>
      <c r="AH13" s="1325"/>
      <c r="AI13" s="1325"/>
      <c r="AJ13" s="1325"/>
      <c r="AK13" s="1325"/>
      <c r="AM13" s="1252"/>
      <c r="AN13" s="1252" t="str">
        <f>IF(T13="","",T13)</f>
        <v>Добавить централизованную систему для дифференциации</v>
      </c>
      <c r="AO13" s="1252"/>
      <c r="AP13" s="1252"/>
      <c r="AQ13" s="1643">
        <v>0</v>
      </c>
    </row>
    <row s="1643" customFormat="1" customHeight="1" ht="0.75" hidden="1">
      <c r="A14" s="1376"/>
      <c r="B14" s="1376"/>
      <c r="C14" s="1376"/>
      <c r="D14" s="1376"/>
      <c r="E14" s="2290"/>
      <c r="F14" s="1376"/>
      <c r="G14" s="1376"/>
      <c r="H14" s="1376"/>
      <c r="I14" s="1376"/>
      <c r="J14" s="1376"/>
      <c r="K14" s="1376"/>
      <c r="L14" s="1382"/>
      <c r="M14" s="1380"/>
      <c r="N14" s="1380"/>
      <c r="O14" s="352"/>
      <c r="P14" s="381"/>
      <c r="Q14" s="1345"/>
      <c r="R14" s="381"/>
      <c r="S14" s="1323"/>
      <c r="T14" s="1326" t="s">
        <v>178</v>
      </c>
      <c r="U14" s="1325"/>
      <c r="V14" s="1325"/>
      <c r="W14" s="1325"/>
      <c r="X14" s="1325"/>
      <c r="Y14" s="1325"/>
      <c r="Z14" s="1325"/>
      <c r="AA14" s="1325"/>
      <c r="AB14" s="1325"/>
      <c r="AC14" s="1325"/>
      <c r="AD14" s="1325"/>
      <c r="AE14" s="1325"/>
      <c r="AF14" s="1325"/>
      <c r="AG14" s="1325"/>
      <c r="AH14" s="1325"/>
      <c r="AI14" s="1325"/>
      <c r="AJ14" s="1325"/>
      <c r="AK14" s="1325"/>
      <c r="AM14" s="1625"/>
      <c r="AN14" s="1625" t="str">
        <f>IF(T14="","",T14)</f>
        <v>Добавить территорию для дифференциации</v>
      </c>
      <c r="AO14" s="1625"/>
      <c r="AP14" s="1625"/>
      <c r="AQ14" s="1637">
        <v>0</v>
      </c>
    </row>
    <row customHeight="1" ht="14.25" hidden="1">
      <c r="AQ15" s="1632">
        <v>0</v>
      </c>
    </row>
    <row customHeight="1" ht="14.25" hidden="1">
      <c r="AC16" s="1503"/>
      <c r="AD16" s="1404"/>
      <c r="AE16" s="1405"/>
      <c r="AF16" s="1737"/>
      <c r="AG16" s="1967" t="s">
        <v>61</v>
      </c>
      <c r="AH16" s="1737"/>
      <c r="AI16" s="1967" t="s">
        <v>61</v>
      </c>
      <c r="AQ16" s="1632">
        <v>0</v>
      </c>
    </row>
    <row customHeight="1" ht="14.25" hidden="1">
      <c r="AL17" s="1642"/>
      <c r="AM17" s="1642"/>
      <c r="AN17" s="1642"/>
      <c r="AO17" s="1642"/>
      <c r="AP17" s="1642"/>
      <c r="AQ17" s="1632">
        <v>0</v>
      </c>
    </row>
    <row customHeight="1" ht="14.25" hidden="1">
      <c r="O18" s="1346" t="s">
        <v>431</v>
      </c>
      <c r="X18" s="1346"/>
      <c r="Z18" s="1346"/>
      <c r="AF18" s="1346"/>
      <c r="AH18" s="1346"/>
      <c r="AL18" s="1642"/>
      <c r="AM18" s="1642"/>
      <c r="AN18" s="1642"/>
      <c r="AO18" s="1642"/>
      <c r="AP18" s="1642"/>
      <c r="AQ18" s="1632">
        <v>0</v>
      </c>
    </row>
    <row customHeight="1" ht="14.25" hidden="1">
      <c r="AL19" s="1642"/>
      <c r="AM19" s="1642"/>
      <c r="AN19" s="1642"/>
      <c r="AO19" s="1642"/>
      <c r="AP19" s="1642"/>
      <c r="AQ19" s="1632">
        <v>0</v>
      </c>
    </row>
    <row s="1510" customFormat="1" customHeight="1" ht="14.25" hidden="1">
      <c r="A20" s="1972"/>
      <c r="B20" s="1972"/>
      <c r="C20" s="1972"/>
      <c r="D20" s="1972"/>
      <c r="E20" s="1972"/>
      <c r="F20" s="1972"/>
      <c r="G20" s="1972"/>
      <c r="H20" s="1972"/>
      <c r="I20" s="1972"/>
      <c r="J20" s="1972"/>
      <c r="K20" s="1972"/>
      <c r="L20" s="1972"/>
      <c r="M20" s="1973"/>
      <c r="N20" s="1973"/>
      <c r="O20" s="1974" t="s">
        <v>432</v>
      </c>
      <c r="P20" s="1509"/>
      <c r="Q20" s="1511"/>
      <c r="R20" s="1511"/>
      <c r="Y20" s="1508" t="s">
        <v>434</v>
      </c>
      <c r="AA20" s="1508" t="s">
        <v>435</v>
      </c>
      <c r="AC20" s="1508" t="s">
        <v>489</v>
      </c>
      <c r="AG20" s="1508" t="s">
        <v>434</v>
      </c>
      <c r="AI20" s="1508" t="s">
        <v>435</v>
      </c>
      <c r="AL20" s="1512"/>
      <c r="AM20" s="1512"/>
      <c r="AN20" s="1512"/>
      <c r="AO20" s="1512"/>
      <c r="AP20" s="1512"/>
      <c r="AQ20" s="1508">
        <v>0</v>
      </c>
    </row>
    <row customHeight="1" ht="14.25" hidden="1">
      <c r="O21" s="1311"/>
      <c r="AL21" s="1642"/>
      <c r="AM21" s="1642"/>
      <c r="AN21" s="1642"/>
      <c r="AO21" s="1642"/>
      <c r="AP21" s="1642"/>
      <c r="AQ21" s="1632">
        <v>0</v>
      </c>
    </row>
    <row customHeight="1" ht="14.25" hidden="1">
      <c r="O22" s="1311"/>
      <c r="AL22" s="1642"/>
      <c r="AM22" s="1642"/>
      <c r="AN22" s="1642"/>
      <c r="AO22" s="1642"/>
      <c r="AP22" s="1642"/>
      <c r="AQ22" s="1632">
        <v>0</v>
      </c>
    </row>
    <row customHeight="1" ht="14.699999999999998">
      <c r="Q23" s="292"/>
      <c r="R23" s="377"/>
      <c r="S23" s="1276"/>
      <c r="T23" s="458"/>
      <c r="U23" s="458"/>
      <c r="V23" s="1636"/>
      <c r="W23" s="1636"/>
      <c r="X23" s="1636"/>
      <c r="Y23" s="1636"/>
      <c r="Z23" s="1636"/>
      <c r="AA23" s="1636"/>
      <c r="AB23" s="1636"/>
      <c r="AC23" s="1636"/>
      <c r="AD23" s="1636"/>
      <c r="AE23" s="1636"/>
      <c r="AF23" s="1636"/>
      <c r="AG23" s="1636"/>
      <c r="AH23" s="1636"/>
      <c r="AI23" s="1636"/>
      <c r="AQ23" s="1632">
        <v>14</v>
      </c>
    </row>
    <row customHeight="1" ht="39.75">
      <c r="Q24" s="292"/>
      <c r="R24" s="377"/>
      <c r="S24" s="2249" t="str">
        <f>IF(TEMPLATE_GROUP="P",PT_P_FORM_HEAT_7_NAME_FORM,PT_R_FORM_HEAT_24_NAME_FORM)</f>
        <v>Форма 22. Информация о предложении регулируемой организации о расчетной величине платы за подключение (технологическое присоединение) к системе теплоснабжения, о расчетной величине платы за подключение (технологическое присоединение) к системе теплоснабжения, применяемой в случае, установленном частью 9 статьи 23 4 Федерального закона от 27 июля 2010 г. N 190-ФЗ "О теплоснабжении"</v>
      </c>
      <c r="T24" s="2249"/>
      <c r="U24" s="2249"/>
      <c r="V24" s="2249"/>
      <c r="W24" s="2249"/>
      <c r="X24" s="2249"/>
      <c r="Y24" s="2249"/>
      <c r="Z24" s="2249"/>
      <c r="AA24" s="2249"/>
      <c r="AB24" s="2249"/>
      <c r="AC24" s="2249"/>
      <c r="AD24" s="2249"/>
      <c r="AE24" s="2249"/>
      <c r="AF24" s="2249"/>
      <c r="AG24" s="2249"/>
      <c r="AH24" s="2249"/>
      <c r="AI24" s="1244"/>
      <c r="AQ24" s="1632">
        <v>38</v>
      </c>
    </row>
    <row customHeight="1" ht="14.699999999999998">
      <c r="Q25" s="292"/>
      <c r="R25" s="377"/>
      <c r="S25" s="2250" t="str">
        <f>IF(org=0,"Не определено",org)</f>
        <v>ПАО "КГК"</v>
      </c>
      <c r="T25" s="2250"/>
      <c r="U25" s="2250"/>
      <c r="V25" s="2250"/>
      <c r="W25" s="2250"/>
      <c r="X25" s="2250"/>
      <c r="Y25" s="2250"/>
      <c r="Z25" s="2250"/>
      <c r="AA25" s="2250"/>
      <c r="AB25" s="2250"/>
      <c r="AC25" s="2250"/>
      <c r="AD25" s="2250"/>
      <c r="AE25" s="2250"/>
      <c r="AF25" s="2250"/>
      <c r="AG25" s="2250"/>
      <c r="AH25" s="2250"/>
      <c r="AI25" s="1244"/>
      <c r="AQ25" s="1632">
        <v>14</v>
      </c>
    </row>
    <row customHeight="1" ht="14.25" hidden="1">
      <c r="Q26" s="292"/>
      <c r="R26" s="377"/>
      <c r="S26" s="1276"/>
      <c r="T26" s="458"/>
      <c r="U26" s="458"/>
      <c r="V26" s="323"/>
      <c r="W26" s="323"/>
      <c r="X26" s="323"/>
      <c r="Y26" s="323"/>
      <c r="Z26" s="323"/>
      <c r="AA26" s="323"/>
      <c r="AB26" s="323"/>
      <c r="AC26" s="323"/>
      <c r="AD26" s="323"/>
      <c r="AE26" s="323"/>
      <c r="AF26" s="323"/>
      <c r="AG26" s="323"/>
      <c r="AH26" s="323"/>
      <c r="AI26" s="323"/>
      <c r="AJ26" s="1636"/>
      <c r="AQ26" s="1632">
        <v>0</v>
      </c>
    </row>
    <row s="1854" customFormat="1" customHeight="1" ht="25.5" hidden="1">
      <c r="A27" s="1249"/>
      <c r="B27" s="1249"/>
      <c r="C27" s="1249"/>
      <c r="D27" s="1249"/>
      <c r="E27" s="1249"/>
      <c r="F27" s="1249"/>
      <c r="G27" s="1249"/>
      <c r="H27" s="1249"/>
      <c r="I27" s="1249"/>
      <c r="J27" s="1249"/>
      <c r="K27" s="1249"/>
      <c r="L27" s="1381"/>
      <c r="M27" s="1249"/>
      <c r="N27" s="1249"/>
      <c r="O27" s="1249"/>
      <c r="P27" s="1369"/>
      <c r="Q27" s="1369"/>
      <c r="S27" s="2251" t="s">
        <v>42</v>
      </c>
      <c r="T27" s="2251"/>
      <c r="U27" s="1373"/>
      <c r="V27" s="2252" t="str">
        <f>IF(TITLE_NAME_OR_PR_CHANGE="",IF(TITLE_NAME_OR_PR="","",TITLE_NAME_OR_PR),TITLE_NAME_OR_PR_CHANGE)</f>
        <v/>
      </c>
      <c r="W27" s="2252"/>
      <c r="X27" s="2252"/>
      <c r="Y27" s="2252"/>
      <c r="Z27" s="2252"/>
      <c r="AA27" s="1636"/>
      <c r="AB27" s="1636"/>
      <c r="AC27" s="2252"/>
      <c r="AD27" s="2252"/>
      <c r="AE27" s="2252"/>
      <c r="AF27" s="2252"/>
      <c r="AG27" s="2252"/>
      <c r="AH27" s="2252"/>
      <c r="AI27" s="1636"/>
      <c r="AJ27" s="1636"/>
      <c r="AK27" s="281"/>
      <c r="AL27" s="369"/>
      <c r="AM27" s="369"/>
      <c r="AN27" s="369"/>
      <c r="AO27" s="369"/>
      <c r="AP27" s="369"/>
      <c r="AQ27" s="419">
        <v>0</v>
      </c>
    </row>
    <row s="1854" customFormat="1" customHeight="1" ht="18.75" hidden="1">
      <c r="A28" s="1249"/>
      <c r="B28" s="1249"/>
      <c r="C28" s="1249"/>
      <c r="D28" s="1249"/>
      <c r="E28" s="1249"/>
      <c r="F28" s="1249"/>
      <c r="G28" s="1249"/>
      <c r="H28" s="1249"/>
      <c r="I28" s="1249"/>
      <c r="J28" s="1249"/>
      <c r="K28" s="1249"/>
      <c r="L28" s="1381"/>
      <c r="M28" s="1249"/>
      <c r="N28" s="1249"/>
      <c r="O28" s="1249"/>
      <c r="P28" s="1369"/>
      <c r="Q28" s="1369"/>
      <c r="S28" s="2251" t="s">
        <v>437</v>
      </c>
      <c r="T28" s="2251"/>
      <c r="U28" s="1373"/>
      <c r="V28" s="2265" t="str">
        <f>IF(TITLE_DATE_PR_CHANGE="",IF(TITLE_DATE_PR="","",TITLE_DATE_PR),TITLE_DATE_PR_CHANGE)</f>
        <v>46142</v>
      </c>
      <c r="W28" s="2265"/>
      <c r="X28" s="2265"/>
      <c r="Y28" s="2265"/>
      <c r="Z28" s="2265"/>
      <c r="AA28" s="1636"/>
      <c r="AB28" s="1636"/>
      <c r="AC28" s="2265"/>
      <c r="AD28" s="2265"/>
      <c r="AE28" s="2265"/>
      <c r="AF28" s="2265"/>
      <c r="AG28" s="2265"/>
      <c r="AH28" s="2265"/>
      <c r="AI28" s="1636"/>
      <c r="AJ28" s="1636"/>
      <c r="AK28" s="281"/>
      <c r="AL28" s="369"/>
      <c r="AM28" s="369"/>
      <c r="AN28" s="369"/>
      <c r="AO28" s="369"/>
      <c r="AP28" s="369"/>
      <c r="AQ28" s="419">
        <v>0</v>
      </c>
    </row>
    <row s="1854" customFormat="1" customHeight="1" ht="18.75" hidden="1">
      <c r="A29" s="1249"/>
      <c r="B29" s="1249"/>
      <c r="C29" s="1249"/>
      <c r="D29" s="1249"/>
      <c r="E29" s="1249"/>
      <c r="F29" s="1249"/>
      <c r="G29" s="1249"/>
      <c r="H29" s="1249"/>
      <c r="I29" s="1249"/>
      <c r="J29" s="1249"/>
      <c r="K29" s="1249"/>
      <c r="L29" s="1381"/>
      <c r="M29" s="1249"/>
      <c r="N29" s="1249"/>
      <c r="O29" s="1249"/>
      <c r="P29" s="1369"/>
      <c r="Q29" s="1369"/>
      <c r="S29" s="2251" t="s">
        <v>438</v>
      </c>
      <c r="T29" s="2251"/>
      <c r="U29" s="1373"/>
      <c r="V29" s="2252" t="str">
        <f>IF(TITLE_NUMBER_PR_CHANGE="",IF(TITLE_NUMBER_PR="","",TITLE_NUMBER_PR),TITLE_NUMBER_PR_CHANGE)</f>
        <v>206Т</v>
      </c>
      <c r="W29" s="2252"/>
      <c r="X29" s="2252"/>
      <c r="Y29" s="2252"/>
      <c r="Z29" s="2252"/>
      <c r="AA29" s="1636"/>
      <c r="AB29" s="1636"/>
      <c r="AC29" s="2252"/>
      <c r="AD29" s="2252"/>
      <c r="AE29" s="2252"/>
      <c r="AF29" s="2252"/>
      <c r="AG29" s="2252"/>
      <c r="AH29" s="2252"/>
      <c r="AI29" s="1636"/>
      <c r="AJ29" s="1636"/>
      <c r="AK29" s="281"/>
      <c r="AL29" s="369"/>
      <c r="AM29" s="369"/>
      <c r="AN29" s="369"/>
      <c r="AO29" s="369"/>
      <c r="AP29" s="369"/>
      <c r="AQ29" s="419">
        <v>0</v>
      </c>
    </row>
    <row s="1854" customFormat="1" customHeight="1" ht="18.75" hidden="1">
      <c r="A30" s="1249"/>
      <c r="B30" s="1249"/>
      <c r="C30" s="1249"/>
      <c r="D30" s="1249"/>
      <c r="E30" s="1249"/>
      <c r="F30" s="1249"/>
      <c r="G30" s="1249"/>
      <c r="H30" s="1249"/>
      <c r="I30" s="1249"/>
      <c r="J30" s="1249"/>
      <c r="K30" s="1249"/>
      <c r="L30" s="1381"/>
      <c r="M30" s="1249"/>
      <c r="N30" s="1249"/>
      <c r="O30" s="1249"/>
      <c r="P30" s="1369"/>
      <c r="Q30" s="1369"/>
      <c r="S30" s="2251" t="s">
        <v>43</v>
      </c>
      <c r="T30" s="2251"/>
      <c r="U30" s="1373"/>
      <c r="V30" s="2252" t="str">
        <f>IF(TITLE_IST_PUB_CHANGE="",IF(TITLE_IST_PUB="","",TITLE_IST_PUB),TITLE_IST_PUB_CHANGE)</f>
        <v/>
      </c>
      <c r="W30" s="2252"/>
      <c r="X30" s="2252"/>
      <c r="Y30" s="2252"/>
      <c r="Z30" s="2252"/>
      <c r="AA30" s="1636"/>
      <c r="AB30" s="1636"/>
      <c r="AC30" s="2252"/>
      <c r="AD30" s="2252"/>
      <c r="AE30" s="2252"/>
      <c r="AF30" s="2252"/>
      <c r="AG30" s="2252"/>
      <c r="AH30" s="2252"/>
      <c r="AI30" s="1636"/>
      <c r="AJ30" s="1636"/>
      <c r="AK30" s="281"/>
      <c r="AL30" s="369"/>
      <c r="AM30" s="369"/>
      <c r="AN30" s="369"/>
      <c r="AO30" s="369"/>
      <c r="AP30" s="369"/>
      <c r="AQ30" s="419">
        <v>0</v>
      </c>
    </row>
    <row customHeight="1" ht="14.25" hidden="1">
      <c r="Q31" s="292"/>
      <c r="R31" s="377"/>
      <c r="S31" s="1276"/>
      <c r="T31" s="458"/>
      <c r="U31" s="458"/>
      <c r="V31" s="323"/>
      <c r="W31" s="323"/>
      <c r="X31" s="323"/>
      <c r="Y31" s="323"/>
      <c r="Z31" s="323"/>
      <c r="AA31" s="323"/>
      <c r="AB31" s="323"/>
      <c r="AC31" s="323"/>
      <c r="AD31" s="323"/>
      <c r="AE31" s="323"/>
      <c r="AF31" s="323"/>
      <c r="AG31" s="323"/>
      <c r="AH31" s="323"/>
      <c r="AI31" s="323"/>
      <c r="AJ31" s="1636"/>
      <c r="AQ31" s="1632">
        <v>0</v>
      </c>
    </row>
    <row s="1854" customFormat="1" customHeight="1" ht="18.75" hidden="1">
      <c r="A32" s="1249"/>
      <c r="B32" s="1249"/>
      <c r="C32" s="1249"/>
      <c r="D32" s="1249"/>
      <c r="E32" s="1249"/>
      <c r="F32" s="1249"/>
      <c r="G32" s="1249"/>
      <c r="H32" s="1249"/>
      <c r="I32" s="1249"/>
      <c r="J32" s="1249"/>
      <c r="K32" s="1249"/>
      <c r="L32" s="1381"/>
      <c r="M32" s="1249"/>
      <c r="N32" s="1249"/>
      <c r="O32" s="1249"/>
      <c r="P32" s="1369"/>
      <c r="Q32" s="1369"/>
      <c r="S32" s="2251" t="s">
        <v>437</v>
      </c>
      <c r="T32" s="2251"/>
      <c r="U32" s="1373"/>
      <c r="V32" s="2265" t="str">
        <f>IF(TITLE_DATE_PR_CHANGE="",IF(TITLE_DATE_PR="","",TITLE_DATE_PR),TITLE_DATE_PR_CHANGE)</f>
        <v>46142</v>
      </c>
      <c r="W32" s="2265"/>
      <c r="X32" s="2265"/>
      <c r="Y32" s="2265"/>
      <c r="Z32" s="2265"/>
      <c r="AA32" s="1636"/>
      <c r="AB32" s="1636"/>
      <c r="AC32" s="2265"/>
      <c r="AD32" s="2265"/>
      <c r="AE32" s="2265"/>
      <c r="AF32" s="2265"/>
      <c r="AG32" s="2265"/>
      <c r="AH32" s="2265"/>
      <c r="AI32" s="1636"/>
      <c r="AJ32" s="1636"/>
      <c r="AK32" s="281"/>
      <c r="AL32" s="369"/>
      <c r="AM32" s="369"/>
      <c r="AN32" s="369"/>
      <c r="AO32" s="369"/>
      <c r="AP32" s="369"/>
      <c r="AQ32" s="419">
        <v>0</v>
      </c>
    </row>
    <row s="1854" customFormat="1" customHeight="1" ht="18" hidden="1">
      <c r="A33" s="1249"/>
      <c r="B33" s="1249"/>
      <c r="C33" s="1249"/>
      <c r="D33" s="1249"/>
      <c r="E33" s="1249"/>
      <c r="F33" s="1249"/>
      <c r="G33" s="1249"/>
      <c r="H33" s="1249"/>
      <c r="I33" s="1249"/>
      <c r="J33" s="1249"/>
      <c r="K33" s="1249"/>
      <c r="L33" s="1381"/>
      <c r="M33" s="1249"/>
      <c r="N33" s="1249"/>
      <c r="O33" s="1249"/>
      <c r="P33" s="1369"/>
      <c r="Q33" s="1369"/>
      <c r="S33" s="2251" t="s">
        <v>438</v>
      </c>
      <c r="T33" s="2251"/>
      <c r="U33" s="1373"/>
      <c r="V33" s="2252" t="str">
        <f>IF(TITLE_NUMBER_PR_CHANGE="",IF(TITLE_NUMBER_PR="","",TITLE_NUMBER_PR),TITLE_NUMBER_PR_CHANGE)</f>
        <v>206Т</v>
      </c>
      <c r="W33" s="2252"/>
      <c r="X33" s="2252"/>
      <c r="Y33" s="2252"/>
      <c r="Z33" s="2252"/>
      <c r="AA33" s="1636"/>
      <c r="AB33" s="1636"/>
      <c r="AC33" s="2252"/>
      <c r="AD33" s="2252"/>
      <c r="AE33" s="2252"/>
      <c r="AF33" s="2252"/>
      <c r="AG33" s="2252"/>
      <c r="AH33" s="2252"/>
      <c r="AI33" s="1636"/>
      <c r="AJ33" s="1636"/>
      <c r="AK33" s="281"/>
      <c r="AL33" s="369"/>
      <c r="AM33" s="369"/>
      <c r="AN33" s="369"/>
      <c r="AO33" s="369"/>
      <c r="AP33" s="369"/>
      <c r="AQ33" s="419">
        <v>0</v>
      </c>
    </row>
    <row s="1854" customFormat="1" customHeight="1" ht="1.05">
      <c r="A34" s="1249"/>
      <c r="B34" s="1249"/>
      <c r="C34" s="1249"/>
      <c r="D34" s="1249"/>
      <c r="E34" s="1249"/>
      <c r="F34" s="1249"/>
      <c r="G34" s="1249"/>
      <c r="H34" s="1249"/>
      <c r="I34" s="1249"/>
      <c r="J34" s="1249"/>
      <c r="K34" s="1249"/>
      <c r="L34" s="1381"/>
      <c r="M34" s="1249"/>
      <c r="N34" s="1249"/>
      <c r="O34" s="1249"/>
      <c r="P34" s="1369"/>
      <c r="Q34" s="1369"/>
      <c r="S34" s="1636"/>
      <c r="T34" s="1636"/>
      <c r="U34" s="1971"/>
      <c r="V34" s="1636"/>
      <c r="W34" s="1636"/>
      <c r="X34" s="1636"/>
      <c r="Y34" s="1636"/>
      <c r="Z34" s="1636"/>
      <c r="AA34" s="1643" t="s">
        <v>441</v>
      </c>
      <c r="AB34" s="1643"/>
      <c r="AC34" s="1636"/>
      <c r="AD34" s="1636"/>
      <c r="AE34" s="1636"/>
      <c r="AF34" s="1636"/>
      <c r="AG34" s="1636"/>
      <c r="AH34" s="1636"/>
      <c r="AI34" s="1643" t="s">
        <v>441</v>
      </c>
      <c r="AL34" s="369"/>
      <c r="AM34" s="369"/>
      <c r="AN34" s="369"/>
      <c r="AO34" s="369"/>
      <c r="AP34" s="369"/>
      <c r="AQ34" s="419">
        <v>1</v>
      </c>
    </row>
    <row customHeight="1" ht="14.699999999999998">
      <c r="Q35" s="292"/>
      <c r="R35" s="377"/>
      <c r="S35" s="1276"/>
      <c r="T35" s="458"/>
      <c r="U35" s="1245"/>
      <c r="V35" s="2253"/>
      <c r="W35" s="2253"/>
      <c r="X35" s="2253"/>
      <c r="Y35" s="2253"/>
      <c r="Z35" s="2253"/>
      <c r="AA35" s="2253"/>
      <c r="AB35" s="1958"/>
      <c r="AC35" s="2253"/>
      <c r="AD35" s="2253"/>
      <c r="AE35" s="2253"/>
      <c r="AF35" s="2253"/>
      <c r="AG35" s="2253"/>
      <c r="AH35" s="2253"/>
      <c r="AI35" s="2253"/>
      <c r="AQ35" s="1632">
        <v>14</v>
      </c>
    </row>
    <row customHeight="1" ht="14.699999999999998">
      <c r="Q36" s="292"/>
      <c r="R36" s="377"/>
      <c r="S36" s="2128" t="s">
        <v>317</v>
      </c>
      <c r="T36" s="2128"/>
      <c r="U36" s="2128"/>
      <c r="V36" s="2128"/>
      <c r="W36" s="2128"/>
      <c r="X36" s="2128"/>
      <c r="Y36" s="2128"/>
      <c r="Z36" s="2128"/>
      <c r="AA36" s="2176"/>
      <c r="AB36" s="2176"/>
      <c r="AC36" s="2176"/>
      <c r="AD36" s="2128"/>
      <c r="AE36" s="2128"/>
      <c r="AF36" s="2128"/>
      <c r="AG36" s="2128"/>
      <c r="AH36" s="2128"/>
      <c r="AI36" s="2128"/>
      <c r="AJ36" s="2128"/>
      <c r="AK36" s="2128" t="s">
        <v>318</v>
      </c>
      <c r="AQ36" s="1632">
        <v>14</v>
      </c>
    </row>
    <row customHeight="1" ht="14.699999999999998">
      <c r="Q37" s="292"/>
      <c r="R37" s="377"/>
      <c r="S37" s="2274" t="s">
        <v>89</v>
      </c>
      <c r="T37" s="2210" t="s">
        <v>518</v>
      </c>
      <c r="U37" s="338"/>
      <c r="V37" s="2276"/>
      <c r="W37" s="2276"/>
      <c r="X37" s="2276"/>
      <c r="Y37" s="2276"/>
      <c r="Z37" s="2276"/>
      <c r="AA37" s="2210" t="s">
        <v>444</v>
      </c>
      <c r="AB37" s="2209" t="s">
        <v>519</v>
      </c>
      <c r="AC37" s="2209" t="s">
        <v>493</v>
      </c>
      <c r="AD37" s="2292" t="s">
        <v>443</v>
      </c>
      <c r="AE37" s="2292"/>
      <c r="AF37" s="2276"/>
      <c r="AG37" s="2276"/>
      <c r="AH37" s="2277"/>
      <c r="AI37" s="2278" t="s">
        <v>444</v>
      </c>
      <c r="AJ37" s="2281" t="s">
        <v>446</v>
      </c>
      <c r="AK37" s="2128"/>
      <c r="AQ37" s="1632">
        <v>14</v>
      </c>
    </row>
    <row customHeight="1" ht="35.699999999999996">
      <c r="Q38" s="292"/>
      <c r="R38" s="377"/>
      <c r="S38" s="2274"/>
      <c r="T38" s="2210"/>
      <c r="U38" s="1032"/>
      <c r="V38" s="2104" t="s">
        <v>496</v>
      </c>
      <c r="W38" s="2128"/>
      <c r="X38" s="2295" t="s">
        <v>450</v>
      </c>
      <c r="Y38" s="2314"/>
      <c r="Z38" s="2314"/>
      <c r="AA38" s="2210"/>
      <c r="AB38" s="2209"/>
      <c r="AC38" s="2209"/>
      <c r="AD38" s="2104" t="s">
        <v>496</v>
      </c>
      <c r="AE38" s="2128"/>
      <c r="AF38" s="2314" t="s">
        <v>450</v>
      </c>
      <c r="AG38" s="2314"/>
      <c r="AH38" s="2315"/>
      <c r="AI38" s="2279"/>
      <c r="AJ38" s="2282"/>
      <c r="AK38" s="2128"/>
      <c r="AQ38" s="1632">
        <v>34</v>
      </c>
    </row>
    <row customHeight="1" ht="14.699999999999998">
      <c r="Q39" s="292"/>
      <c r="R39" s="377"/>
      <c r="S39" s="2274"/>
      <c r="T39" s="2210"/>
      <c r="U39" s="1032"/>
      <c r="V39" s="2341" t="str">
        <f>IF($AD$39&lt;&gt;"",$AD$39,"")</f>
        <v/>
      </c>
      <c r="W39" s="2341"/>
      <c r="X39" s="2296"/>
      <c r="Y39" s="2316"/>
      <c r="Z39" s="2316"/>
      <c r="AA39" s="2210"/>
      <c r="AB39" s="2209"/>
      <c r="AC39" s="2209"/>
      <c r="AD39" s="2357"/>
      <c r="AE39" s="2340"/>
      <c r="AF39" s="2316"/>
      <c r="AG39" s="2316"/>
      <c r="AH39" s="2317"/>
      <c r="AI39" s="2279"/>
      <c r="AJ39" s="2282"/>
      <c r="AK39" s="2128"/>
      <c r="AQ39" s="1632">
        <v>14</v>
      </c>
    </row>
    <row customHeight="1" ht="14.699999999999998">
      <c r="A40" s="1267"/>
      <c r="B40" s="1267" t="s">
        <v>143</v>
      </c>
      <c r="C40" s="1267" t="s">
        <v>144</v>
      </c>
      <c r="D40" s="1267" t="s">
        <v>145</v>
      </c>
      <c r="E40" s="1311" t="s">
        <v>451</v>
      </c>
      <c r="F40" s="1311" t="s">
        <v>452</v>
      </c>
      <c r="G40" s="1311" t="s">
        <v>453</v>
      </c>
      <c r="H40" s="1311" t="s">
        <v>454</v>
      </c>
      <c r="I40" s="1311" t="s">
        <v>455</v>
      </c>
      <c r="J40" s="1311" t="s">
        <v>456</v>
      </c>
      <c r="K40" s="1311" t="s">
        <v>457</v>
      </c>
      <c r="L40" s="1311" t="s">
        <v>432</v>
      </c>
      <c r="Q40" s="292"/>
      <c r="R40" s="377"/>
      <c r="S40" s="2274"/>
      <c r="T40" s="2210"/>
      <c r="U40" s="303"/>
      <c r="V40" s="1951" t="s">
        <v>497</v>
      </c>
      <c r="W40" s="1951" t="s">
        <v>498</v>
      </c>
      <c r="X40" s="1939" t="s">
        <v>460</v>
      </c>
      <c r="Y40" s="2271" t="s">
        <v>461</v>
      </c>
      <c r="Z40" s="2321"/>
      <c r="AA40" s="2210"/>
      <c r="AB40" s="2209"/>
      <c r="AC40" s="2209"/>
      <c r="AD40" s="1969" t="s">
        <v>497</v>
      </c>
      <c r="AE40" s="1960" t="s">
        <v>498</v>
      </c>
      <c r="AF40" s="1939" t="s">
        <v>460</v>
      </c>
      <c r="AG40" s="2271" t="s">
        <v>461</v>
      </c>
      <c r="AH40" s="2272"/>
      <c r="AI40" s="2280"/>
      <c r="AJ40" s="2283"/>
      <c r="AK40" s="2128"/>
      <c r="AQ40" s="1632">
        <v>14</v>
      </c>
    </row>
    <row s="1642" customFormat="1" customHeight="1" ht="11.25" hidden="1">
      <c r="A41" s="1267"/>
      <c r="B41" s="1267"/>
      <c r="C41" s="1267"/>
      <c r="D41" s="1267"/>
      <c r="E41" s="1267"/>
      <c r="F41" s="1267"/>
      <c r="G41" s="1267"/>
      <c r="H41" s="1267"/>
      <c r="I41" s="1267"/>
      <c r="J41" s="1267"/>
      <c r="K41" s="1267"/>
      <c r="L41" s="1311"/>
      <c r="M41" s="1966"/>
      <c r="N41" s="1966"/>
      <c r="O41" s="1966"/>
      <c r="P41" s="511"/>
      <c r="Q41" s="1255"/>
      <c r="R41" s="1255">
        <v>1</v>
      </c>
      <c r="S41" s="1278" t="s">
        <v>118</v>
      </c>
      <c r="T41" s="1256" t="s">
        <v>103</v>
      </c>
      <c r="U41" s="1246" t="str">
        <f>OFFSET(U41,0,-1)</f>
        <v>2</v>
      </c>
      <c r="V41" s="1957">
        <f>OFFSET(V41,0,-1)+1</f>
        <v>3</v>
      </c>
      <c r="W41" s="1957">
        <f>OFFSET(W41,0,-1)+1</f>
        <v>4</v>
      </c>
      <c r="X41" s="1957">
        <f>OFFSET(X41,0,-1)+1</f>
        <v>5</v>
      </c>
      <c r="Y41" s="2273">
        <f>OFFSET(Y41,0,-1)+1</f>
        <v>6</v>
      </c>
      <c r="Z41" s="2273"/>
      <c r="AA41" s="1342">
        <f>OFFSET(AA41,0,-2)+1</f>
        <v>7</v>
      </c>
      <c r="AB41" s="1342"/>
      <c r="AC41" s="1342"/>
      <c r="AD41" s="1957">
        <f>OFFSET(AD41,0,-1)+1</f>
        <v>1</v>
      </c>
      <c r="AE41" s="1957">
        <f>OFFSET(AE41,0,-1)+1</f>
        <v>2</v>
      </c>
      <c r="AF41" s="1957">
        <f>OFFSET(AF41,0,-1)+1</f>
        <v>3</v>
      </c>
      <c r="AG41" s="2273">
        <f>OFFSET(AG41,0,-1)+1</f>
        <v>4</v>
      </c>
      <c r="AH41" s="2273"/>
      <c r="AI41" s="1957">
        <f>OFFSET(AI41,0,-2)+1</f>
        <v>5</v>
      </c>
      <c r="AJ41" s="1246">
        <f>OFFSET(AJ41,0,-1)</f>
        <v>5</v>
      </c>
      <c r="AK41" s="1957">
        <f>OFFSET(AK41,0,-1)+1</f>
        <v>6</v>
      </c>
      <c r="AL41" s="1637"/>
      <c r="AM41" s="1637"/>
      <c r="AN41" s="1637"/>
      <c r="AO41" s="1637"/>
      <c r="AP41" s="1637"/>
      <c r="AQ41" s="1642">
        <v>0</v>
      </c>
    </row>
    <row customHeight="1" ht="107.25">
      <c r="A42" s="1268" t="s">
        <v>223</v>
      </c>
      <c r="B42" s="1268"/>
      <c r="C42" s="1268"/>
      <c r="D42" s="1268"/>
      <c r="E42" s="2290">
        <v>1</v>
      </c>
      <c r="F42" s="1268"/>
      <c r="G42" s="1268"/>
      <c r="H42" s="1268"/>
      <c r="I42" s="1268"/>
      <c r="J42" s="1268"/>
      <c r="K42" s="1268"/>
      <c r="L42" s="1311"/>
      <c r="M42" s="1611"/>
      <c r="N42" s="1611"/>
      <c r="O42" s="1611"/>
      <c r="P42" s="1410"/>
      <c r="Q42" s="874"/>
      <c r="R42" s="356"/>
      <c r="S42" s="1959">
        <f>INDEX(PT_DIFFERENTIATION_NUM_NTAR,MATCH(A42,PT_DIFFERENTIATION_NTAR_ID,0))</f>
        <v>0</v>
      </c>
      <c r="T42" s="1526" t="s">
        <v>131</v>
      </c>
      <c r="U42" s="301"/>
      <c r="V42" s="2244"/>
      <c r="W42" s="2244"/>
      <c r="X42" s="2244"/>
      <c r="Y42" s="2244"/>
      <c r="Z42" s="2244"/>
      <c r="AA42" s="2245"/>
      <c r="AB42" s="1953"/>
      <c r="AC42" s="2244" t="str">
        <f>INDEX(PT_DIFFERENTIATION_NTAR,MATCH(A42,PT_DIFFERENTIATION_NTAR_ID,0))</f>
        <v/>
      </c>
      <c r="AD42" s="2244"/>
      <c r="AE42" s="2244"/>
      <c r="AF42" s="2244"/>
      <c r="AG42" s="2244"/>
      <c r="AH42" s="2244"/>
      <c r="AI42" s="2244"/>
      <c r="AJ42" s="2245"/>
      <c r="AK42" s="1259" t="str">
        <f>IF(TEMPLATE_GROUP="P","По данной форме раскрывается в том числе информация о тарифах на товары (услуги) в сфере теплоснабжения в случаях, указанных в частях 12 1 - 12 4 статьи 10 Федерального закона от 27 июля 2010 г."&amp;" N 190-ФЗ ""О теплоснабжении"", теплоснабжающей организации, теплосетевой организации в ценовых зонах теплоснабжения. "&amp;"Указывается наименование тарифа в случае утверждения нескольких тарифов. В случае наличия нескольких тарифов информация по ним указывается в отдельных строках.
"&amp;"Указываются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об установлении "&amp;"цены (тарифа), источник официального опубликования решения об установлении цены (тарифа) в сфере теплоснабжения.","По данной форме раскрывается в том числе информация о плате за подключение (технологическое присоединение) к системе теплоснабжения, применяемой в случае, установленном частью 9 статьи"&amp;" 23 4 Федерального закона от 27 июля 2010 г. N 190-ФЗ ""О теплоснабжении"".
"&amp;"По данной форме раскрывается в том числе информация о тарифах на товары (услуги) в сфере теплоснабжения в случаях, указанных частях 12 1 - 12 4 статьи 10 от 27 июля 2010 г. N 190-ФЗ"&amp;" Федерального закона ""О теплоснабжении"", теплоснабжающей организации, теплосетевой организации в ценовых зонах теплоснабжения.
"&amp;"В отношении платы за подключение в расчете на единицу мощности тепловой энергии величина платы указывается в тыс.руб./Гкал/ч; в отношении платы за подключение в индивидуальном"&amp;" порядке - в тыс.руб.; в отношении льготного размера платы за подключение - в руб.
"&amp;"Указывается наименование тарифа в случае расчета нескольких тарифов. 
"&amp;"В случае наличия нескольких тарифов информация по ним указывается в отдельных строках.")</f>
        <v>По данной форме раскрывается в том числе информация о плате за подключение (технологическое присоединение) к системе теплоснабжения, применяемой в случае, установленном частью 9 статьи 23 4 Федерального закона от 27 июля 2010 г. N 190-ФЗ "О теплоснабжении".
По данной форме раскрывается в том числе информация о тарифах на товары (услуги) в сфере теплоснабжения в случаях, указанных частях 12 1 - 12 4 статьи 10 от 27 июля 2010 г. N 190-ФЗ Федерального закона "О теплоснабжении", теплоснабжающей организации, теплосетевой организации в ценовых зонах теплоснабжения.
В отношении платы за подключение в расчете на единицу мощности тепловой энергии величина платы указывается в тыс.руб./Гкал/ч; в отношении платы за подключение в индивидуальном порядке - в тыс.руб.; в отношении льготного размера платы за подключение - в руб.
Указывается наименование тарифа в случае расчета нескольких тарифов. 
В случае наличия нескольких тарифов информация по ним указывается в отдельных строках.</v>
      </c>
      <c r="AM42" s="1625"/>
      <c r="AN42" s="1625" t="str">
        <f>IF(T42="","",T42)</f>
        <v>Наименование тарифа</v>
      </c>
      <c r="AO42" s="1625"/>
      <c r="AP42" s="1625"/>
      <c r="AQ42" s="1632">
        <v>102</v>
      </c>
    </row>
    <row customHeight="1" ht="22.049999999999997">
      <c r="A43" s="1268" t="s">
        <v>223</v>
      </c>
      <c r="B43" s="1268" t="s">
        <v>224</v>
      </c>
      <c r="C43" s="1268"/>
      <c r="D43" s="1268"/>
      <c r="E43" s="2291"/>
      <c r="F43" s="2290">
        <v>1</v>
      </c>
      <c r="G43" s="1268"/>
      <c r="H43" s="1268"/>
      <c r="I43" s="1268"/>
      <c r="J43" s="1268"/>
      <c r="K43" s="1268"/>
      <c r="L43" s="1311"/>
      <c r="M43" s="1611"/>
      <c r="N43" s="1611"/>
      <c r="O43" s="1611"/>
      <c r="P43" s="1970"/>
      <c r="Q43" s="1412"/>
      <c r="R43" s="354"/>
      <c r="S43" s="1959" t="str">
        <f>INDEX(PT_DIFFERENTIATION_NUM_TER,MATCH(B43,PT_DIFFERENTIATION_TER_ID,0))</f>
        <v>.</v>
      </c>
      <c r="T43" s="1523" t="s">
        <v>414</v>
      </c>
      <c r="U43" s="301"/>
      <c r="V43" s="2244"/>
      <c r="W43" s="2244"/>
      <c r="X43" s="2244"/>
      <c r="Y43" s="2244"/>
      <c r="Z43" s="2244"/>
      <c r="AA43" s="2245"/>
      <c r="AB43" s="1953"/>
      <c r="AC43" s="2244" t="str">
        <f>INDEX(PT_DIFFERENTIATION_TER,MATCH(B43,PT_DIFFERENTIATION_TER_ID,0))</f>
        <v/>
      </c>
      <c r="AD43" s="2244"/>
      <c r="AE43" s="2244"/>
      <c r="AF43" s="2244"/>
      <c r="AG43" s="2244"/>
      <c r="AH43" s="2244"/>
      <c r="AI43" s="2244"/>
      <c r="AJ43" s="2245"/>
      <c r="AK43" s="1259" t="s">
        <v>415</v>
      </c>
      <c r="AM43" s="1625"/>
      <c r="AN43" s="1625" t="str">
        <f>IF(T43="","",T43)</f>
        <v>Территория действия тарифа</v>
      </c>
      <c r="AO43" s="1625"/>
      <c r="AP43" s="1625"/>
      <c r="AQ43" s="1632">
        <v>21</v>
      </c>
    </row>
    <row customHeight="1" ht="24">
      <c r="A44" s="1268" t="s">
        <v>223</v>
      </c>
      <c r="B44" s="1268" t="s">
        <v>224</v>
      </c>
      <c r="C44" s="1268" t="s">
        <v>225</v>
      </c>
      <c r="D44" s="1268"/>
      <c r="E44" s="2291"/>
      <c r="F44" s="2291"/>
      <c r="G44" s="2290">
        <v>1</v>
      </c>
      <c r="H44" s="1268"/>
      <c r="I44" s="1268"/>
      <c r="J44" s="1268"/>
      <c r="K44" s="1268"/>
      <c r="L44" s="1311"/>
      <c r="M44" s="1611"/>
      <c r="N44" s="1611"/>
      <c r="O44" s="1611"/>
      <c r="P44" s="1413"/>
      <c r="Q44" s="1412"/>
      <c r="R44" s="354"/>
      <c r="S44" s="1959" t="str">
        <f>INDEX(PT_DIFFERENTIATION_NUM_CS,MATCH(C44,PT_DIFFERENTIATION_CS_ID,0))</f>
        <v>..</v>
      </c>
      <c r="T44" s="310" t="s">
        <v>416</v>
      </c>
      <c r="U44" s="301"/>
      <c r="V44" s="2244"/>
      <c r="W44" s="2244"/>
      <c r="X44" s="2244"/>
      <c r="Y44" s="2244"/>
      <c r="Z44" s="2244"/>
      <c r="AA44" s="2245"/>
      <c r="AB44" s="1953"/>
      <c r="AC44" s="2244" t="str">
        <f>INDEX(PT_DIFFERENTIATION_CS,MATCH(C44,PT_DIFFERENTIATION_CS_ID,0))</f>
        <v/>
      </c>
      <c r="AD44" s="2244"/>
      <c r="AE44" s="2244"/>
      <c r="AF44" s="2244"/>
      <c r="AG44" s="2244"/>
      <c r="AH44" s="2244"/>
      <c r="AI44" s="2244"/>
      <c r="AJ44" s="2245"/>
      <c r="AK44" s="1259" t="s">
        <v>417</v>
      </c>
      <c r="AM44" s="1625"/>
      <c r="AN44" s="1625" t="str">
        <f>IF(T44="","",T44)</f>
        <v>Наименование системы теплоснабжения </v>
      </c>
      <c r="AO44" s="1625"/>
      <c r="AP44" s="1625"/>
      <c r="AQ44" s="1632">
        <v>23</v>
      </c>
    </row>
    <row customHeight="1" ht="22.049999999999997">
      <c r="A45" s="1268" t="s">
        <v>223</v>
      </c>
      <c r="B45" s="1268" t="s">
        <v>224</v>
      </c>
      <c r="C45" s="1268" t="s">
        <v>225</v>
      </c>
      <c r="D45" s="1268" t="s">
        <v>226</v>
      </c>
      <c r="E45" s="2291"/>
      <c r="F45" s="2291"/>
      <c r="G45" s="2291"/>
      <c r="H45" s="2290">
        <v>1</v>
      </c>
      <c r="I45" s="1268"/>
      <c r="J45" s="1268"/>
      <c r="K45" s="1268"/>
      <c r="L45" s="1311"/>
      <c r="M45" s="1611"/>
      <c r="N45" s="1611"/>
      <c r="O45" s="1611"/>
      <c r="P45" s="1413"/>
      <c r="Q45" s="1412"/>
      <c r="R45" s="354"/>
      <c r="S45" s="1959" t="str">
        <f>INDEX(PT_DIFFERENTIATION_NUM_IST_TE,MATCH(D45,PT_DIFFERENTIATION_IST_TE_ID,0))</f>
        <v>...</v>
      </c>
      <c r="T45" s="311" t="s">
        <v>418</v>
      </c>
      <c r="U45" s="301"/>
      <c r="V45" s="2244"/>
      <c r="W45" s="2244"/>
      <c r="X45" s="2244"/>
      <c r="Y45" s="2244"/>
      <c r="Z45" s="2244"/>
      <c r="AA45" s="2245"/>
      <c r="AB45" s="1953"/>
      <c r="AC45" s="2244" t="str">
        <f>INDEX(PT_DIFFERENTIATION_IST_TE,MATCH(D45,PT_DIFFERENTIATION_IST_TE_ID,0))</f>
        <v/>
      </c>
      <c r="AD45" s="2244"/>
      <c r="AE45" s="2244"/>
      <c r="AF45" s="2244"/>
      <c r="AG45" s="2244"/>
      <c r="AH45" s="2244"/>
      <c r="AI45" s="2244"/>
      <c r="AJ45" s="2245"/>
      <c r="AK45" s="1259" t="s">
        <v>419</v>
      </c>
      <c r="AM45" s="1625"/>
      <c r="AN45" s="1625" t="str">
        <f>IF(T45="","",T45)</f>
        <v>Источник тепловой энергии  </v>
      </c>
      <c r="AO45" s="1625"/>
      <c r="AP45" s="1625"/>
      <c r="AQ45" s="1632">
        <v>21</v>
      </c>
    </row>
    <row s="1643" customFormat="1" customHeight="1" ht="0">
      <c r="A46" s="1376" t="s">
        <v>223</v>
      </c>
      <c r="B46" s="1376" t="s">
        <v>224</v>
      </c>
      <c r="C46" s="1376" t="s">
        <v>225</v>
      </c>
      <c r="D46" s="1376" t="s">
        <v>226</v>
      </c>
      <c r="E46" s="2291"/>
      <c r="F46" s="2291"/>
      <c r="G46" s="2291"/>
      <c r="H46" s="2291"/>
      <c r="I46" s="2128" t="str">
        <f>S45&amp;".1"</f>
        <v>....1</v>
      </c>
      <c r="J46" s="1376"/>
      <c r="K46" s="1376"/>
      <c r="L46" s="1382" t="s">
        <v>420</v>
      </c>
      <c r="M46" s="1247"/>
      <c r="N46" s="1247"/>
      <c r="O46" s="1247"/>
      <c r="P46" s="2258">
        <v>1</v>
      </c>
      <c r="Q46" s="1955"/>
      <c r="R46" s="357"/>
      <c r="S46" s="1043"/>
      <c r="T46" s="1384"/>
      <c r="U46" s="1385"/>
      <c r="V46" s="2298"/>
      <c r="W46" s="2298"/>
      <c r="X46" s="2298"/>
      <c r="Y46" s="2298"/>
      <c r="Z46" s="2298"/>
      <c r="AA46" s="2299"/>
      <c r="AB46" s="1961"/>
      <c r="AC46" s="2298"/>
      <c r="AD46" s="2298"/>
      <c r="AE46" s="2298"/>
      <c r="AF46" s="2298"/>
      <c r="AG46" s="2298"/>
      <c r="AH46" s="2298"/>
      <c r="AI46" s="2298"/>
      <c r="AJ46" s="2299"/>
      <c r="AK46" s="1386"/>
      <c r="AM46" s="1625"/>
      <c r="AN46" s="1625" t="str">
        <f>IF(T46="","",T46)</f>
        <v/>
      </c>
      <c r="AO46" s="1625"/>
      <c r="AP46" s="1625"/>
      <c r="AQ46" s="1637">
        <v>0</v>
      </c>
    </row>
    <row s="1643" customFormat="1" customHeight="1" ht="0">
      <c r="A47" s="1376" t="s">
        <v>223</v>
      </c>
      <c r="B47" s="1376" t="s">
        <v>224</v>
      </c>
      <c r="C47" s="1376" t="s">
        <v>225</v>
      </c>
      <c r="D47" s="1376" t="s">
        <v>226</v>
      </c>
      <c r="E47" s="2291"/>
      <c r="F47" s="2291"/>
      <c r="G47" s="2291"/>
      <c r="H47" s="2291"/>
      <c r="I47" s="2102"/>
      <c r="J47" s="2128" t="str">
        <f>S45&amp;".1"</f>
        <v>....1</v>
      </c>
      <c r="K47" s="1376"/>
      <c r="L47" s="1382"/>
      <c r="M47" s="1247"/>
      <c r="N47" s="1247"/>
      <c r="O47" s="1247"/>
      <c r="P47" s="2258"/>
      <c r="Q47" s="2258">
        <v>1</v>
      </c>
      <c r="R47" s="358"/>
      <c r="S47" s="1043"/>
      <c r="T47" s="1400"/>
      <c r="U47" s="1385"/>
      <c r="V47" s="2298"/>
      <c r="W47" s="2298"/>
      <c r="X47" s="2298"/>
      <c r="Y47" s="2298"/>
      <c r="Z47" s="2298"/>
      <c r="AA47" s="2299"/>
      <c r="AB47" s="1961"/>
      <c r="AC47" s="2298"/>
      <c r="AD47" s="2298"/>
      <c r="AE47" s="2298"/>
      <c r="AF47" s="2298"/>
      <c r="AG47" s="2298"/>
      <c r="AH47" s="2298"/>
      <c r="AI47" s="2298"/>
      <c r="AJ47" s="2299"/>
      <c r="AK47" s="1386"/>
      <c r="AM47" s="1625"/>
      <c r="AN47" s="1625" t="str">
        <f>IF(T47="","",T47)</f>
        <v/>
      </c>
      <c r="AO47" s="1625"/>
      <c r="AP47" s="1625"/>
      <c r="AQ47" s="1637">
        <v>0</v>
      </c>
    </row>
    <row customHeight="1" ht="22.049999999999997">
      <c r="A48" s="1268" t="s">
        <v>223</v>
      </c>
      <c r="B48" s="1268" t="s">
        <v>224</v>
      </c>
      <c r="C48" s="1268" t="s">
        <v>225</v>
      </c>
      <c r="D48" s="1268" t="s">
        <v>226</v>
      </c>
      <c r="E48" s="2291"/>
      <c r="F48" s="2291"/>
      <c r="G48" s="2291"/>
      <c r="H48" s="2291"/>
      <c r="I48" s="2102"/>
      <c r="J48" s="2102"/>
      <c r="K48" s="1942" t="str">
        <f>S45&amp;".1"</f>
        <v>....1</v>
      </c>
      <c r="L48" s="1311"/>
      <c r="P48" s="2258"/>
      <c r="Q48" s="2258"/>
      <c r="R48" s="358">
        <v>1</v>
      </c>
      <c r="S48" s="1963" t="str">
        <f>$K48</f>
        <v>....1</v>
      </c>
      <c r="T48" s="1962"/>
      <c r="U48" s="301"/>
      <c r="V48" s="752"/>
      <c r="W48" s="1258"/>
      <c r="X48" s="1956"/>
      <c r="Y48" s="1943" t="s">
        <v>61</v>
      </c>
      <c r="Z48" s="1956"/>
      <c r="AA48" s="1943" t="s">
        <v>61</v>
      </c>
      <c r="AB48" s="1965"/>
      <c r="AC48" s="1964" t="s">
        <v>28</v>
      </c>
      <c r="AD48" s="752"/>
      <c r="AE48" s="1258"/>
      <c r="AF48" s="1956"/>
      <c r="AG48" s="1943" t="s">
        <v>61</v>
      </c>
      <c r="AH48" s="1956"/>
      <c r="AI48" s="1943" t="s">
        <v>61</v>
      </c>
      <c r="AJ48" s="1349"/>
      <c r="AK48" s="2254" t="s">
        <v>499</v>
      </c>
      <c r="AL48" s="1637">
        <f>STRCHECKDATE(#REF!)</f>
      </c>
      <c r="AM48" s="1625"/>
      <c r="AN48" s="1625" t="str">
        <f>IF(T48="","",T48)</f>
        <v/>
      </c>
      <c r="AO48" s="1625"/>
      <c r="AP48" s="1625"/>
      <c r="AQ48" s="1632">
        <v>21</v>
      </c>
    </row>
    <row customHeight="1" ht="11.549999999999999">
      <c r="A49" s="1268" t="s">
        <v>223</v>
      </c>
      <c r="B49" s="1268" t="s">
        <v>224</v>
      </c>
      <c r="C49" s="1268" t="s">
        <v>225</v>
      </c>
      <c r="D49" s="1268" t="s">
        <v>226</v>
      </c>
      <c r="E49" s="2291"/>
      <c r="F49" s="2291"/>
      <c r="G49" s="2291"/>
      <c r="H49" s="2291"/>
      <c r="I49" s="2102"/>
      <c r="J49" s="2128"/>
      <c r="K49" s="1268"/>
      <c r="L49" s="1311"/>
      <c r="P49" s="2258"/>
      <c r="Q49" s="2258"/>
      <c r="R49" s="357"/>
      <c r="S49" s="1279"/>
      <c r="T49" s="288" t="s">
        <v>487</v>
      </c>
      <c r="U49" s="601"/>
      <c r="V49" s="601"/>
      <c r="W49" s="601"/>
      <c r="X49" s="601"/>
      <c r="Y49" s="601"/>
      <c r="Z49" s="601"/>
      <c r="AA49" s="325"/>
      <c r="AB49" s="601"/>
      <c r="AC49" s="601"/>
      <c r="AD49" s="601"/>
      <c r="AE49" s="601"/>
      <c r="AF49" s="601"/>
      <c r="AG49" s="601"/>
      <c r="AH49" s="601"/>
      <c r="AI49" s="601"/>
      <c r="AJ49" s="325"/>
      <c r="AK49" s="2256"/>
      <c r="AM49" s="1625"/>
      <c r="AN49" s="1625" t="str">
        <f>IF(T49="","",T49)</f>
        <v>Добавить строку</v>
      </c>
      <c r="AO49" s="1625"/>
      <c r="AP49" s="1625"/>
      <c r="AQ49" s="1632">
        <v>11</v>
      </c>
    </row>
    <row s="1643" customFormat="1" customHeight="1" ht="1.05">
      <c r="A50" s="1376" t="s">
        <v>223</v>
      </c>
      <c r="B50" s="1376" t="s">
        <v>224</v>
      </c>
      <c r="C50" s="1376" t="s">
        <v>225</v>
      </c>
      <c r="D50" s="1376" t="s">
        <v>226</v>
      </c>
      <c r="E50" s="2291"/>
      <c r="F50" s="2291"/>
      <c r="G50" s="2291"/>
      <c r="H50" s="2291"/>
      <c r="I50" s="2128"/>
      <c r="J50" s="1376"/>
      <c r="K50" s="1376"/>
      <c r="L50" s="1382"/>
      <c r="M50" s="1247"/>
      <c r="N50" s="1247"/>
      <c r="O50" s="1247"/>
      <c r="P50" s="2258"/>
      <c r="Q50" s="1955"/>
      <c r="R50" s="357"/>
      <c r="S50" s="1387"/>
      <c r="T50" s="1388" t="s">
        <v>429</v>
      </c>
      <c r="U50" s="1389"/>
      <c r="V50" s="1389"/>
      <c r="W50" s="1389"/>
      <c r="X50" s="1389"/>
      <c r="Y50" s="1389"/>
      <c r="Z50" s="1389"/>
      <c r="AA50" s="1389"/>
      <c r="AB50" s="1389"/>
      <c r="AC50" s="1389"/>
      <c r="AD50" s="1389"/>
      <c r="AE50" s="1389"/>
      <c r="AF50" s="1389"/>
      <c r="AG50" s="1389"/>
      <c r="AH50" s="1389"/>
      <c r="AI50" s="1389"/>
      <c r="AJ50" s="1389"/>
      <c r="AK50" s="1390"/>
      <c r="AM50" s="1625"/>
      <c r="AN50" s="1625" t="str">
        <f>IF(T50="","",T50)</f>
        <v>Добавить группу потребителей</v>
      </c>
      <c r="AO50" s="1625"/>
      <c r="AP50" s="1625"/>
      <c r="AQ50" s="1637">
        <v>1</v>
      </c>
    </row>
    <row s="1642" customFormat="1" customHeight="1" ht="1.05">
      <c r="A51" s="1376" t="s">
        <v>223</v>
      </c>
      <c r="B51" s="1376" t="s">
        <v>224</v>
      </c>
      <c r="C51" s="1376" t="s">
        <v>225</v>
      </c>
      <c r="D51" s="1376" t="s">
        <v>226</v>
      </c>
      <c r="E51" s="2291"/>
      <c r="F51" s="2291"/>
      <c r="G51" s="2291"/>
      <c r="H51" s="2290"/>
      <c r="I51" s="1376"/>
      <c r="J51" s="1376"/>
      <c r="K51" s="1376"/>
      <c r="L51" s="1382"/>
      <c r="M51" s="1379"/>
      <c r="N51" s="1379"/>
      <c r="O51" s="352"/>
      <c r="P51" s="381"/>
      <c r="Q51" s="1345"/>
      <c r="R51" s="1401"/>
      <c r="S51" s="1387"/>
      <c r="T51" s="1388"/>
      <c r="U51" s="1389"/>
      <c r="V51" s="1389"/>
      <c r="W51" s="1389"/>
      <c r="X51" s="1389"/>
      <c r="Y51" s="1389"/>
      <c r="Z51" s="1389"/>
      <c r="AA51" s="1389"/>
      <c r="AB51" s="1389"/>
      <c r="AC51" s="1389"/>
      <c r="AD51" s="1389"/>
      <c r="AE51" s="1389"/>
      <c r="AF51" s="1389"/>
      <c r="AG51" s="1389"/>
      <c r="AH51" s="1389"/>
      <c r="AI51" s="1389"/>
      <c r="AJ51" s="1389"/>
      <c r="AK51" s="1390"/>
      <c r="AL51" s="1637"/>
      <c r="AM51" s="1625"/>
      <c r="AN51" s="1625" t="str">
        <f>IF(T51="","",T51)</f>
        <v/>
      </c>
      <c r="AO51" s="1625"/>
      <c r="AP51" s="1625"/>
      <c r="AQ51" s="1642">
        <v>1</v>
      </c>
    </row>
    <row s="1643" customFormat="1" customHeight="1" ht="1.05">
      <c r="A52" s="1376" t="s">
        <v>223</v>
      </c>
      <c r="B52" s="1376" t="s">
        <v>224</v>
      </c>
      <c r="C52" s="1376" t="s">
        <v>225</v>
      </c>
      <c r="D52" s="1375"/>
      <c r="E52" s="2291"/>
      <c r="F52" s="2291"/>
      <c r="G52" s="2290"/>
      <c r="H52" s="1375"/>
      <c r="I52" s="1375"/>
      <c r="J52" s="1375"/>
      <c r="K52" s="1375"/>
      <c r="L52" s="1378"/>
      <c r="M52" s="1379"/>
      <c r="N52" s="1379"/>
      <c r="O52" s="352"/>
      <c r="P52" s="1317"/>
      <c r="Q52" s="1318"/>
      <c r="R52" s="1317"/>
      <c r="S52" s="1323"/>
      <c r="T52" s="1326" t="s">
        <v>176</v>
      </c>
      <c r="U52" s="1325"/>
      <c r="V52" s="1325"/>
      <c r="W52" s="1325"/>
      <c r="X52" s="1325"/>
      <c r="Y52" s="1325"/>
      <c r="Z52" s="1325"/>
      <c r="AA52" s="1325"/>
      <c r="AB52" s="1325"/>
      <c r="AC52" s="1325"/>
      <c r="AD52" s="1325"/>
      <c r="AE52" s="1325"/>
      <c r="AF52" s="1325"/>
      <c r="AG52" s="1325"/>
      <c r="AH52" s="1325"/>
      <c r="AI52" s="1325"/>
      <c r="AJ52" s="1325"/>
      <c r="AK52" s="1325"/>
      <c r="AM52" s="1252"/>
      <c r="AN52" s="1252" t="str">
        <f>IF(T52="","",T52)</f>
        <v>Добавить источник для дифференциации</v>
      </c>
      <c r="AO52" s="1252"/>
      <c r="AP52" s="1252"/>
      <c r="AQ52" s="1643">
        <v>1</v>
      </c>
    </row>
    <row s="1643" customFormat="1" customHeight="1" ht="1.05">
      <c r="A53" s="1376" t="s">
        <v>223</v>
      </c>
      <c r="B53" s="1376" t="s">
        <v>224</v>
      </c>
      <c r="C53" s="1375"/>
      <c r="D53" s="1375"/>
      <c r="E53" s="2291"/>
      <c r="F53" s="2290"/>
      <c r="G53" s="1375"/>
      <c r="H53" s="1375"/>
      <c r="I53" s="1375"/>
      <c r="J53" s="1375"/>
      <c r="K53" s="1375"/>
      <c r="L53" s="1378"/>
      <c r="M53" s="1380"/>
      <c r="N53" s="1380"/>
      <c r="O53" s="352"/>
      <c r="P53" s="1317"/>
      <c r="Q53" s="1318"/>
      <c r="R53" s="1317"/>
      <c r="S53" s="1323"/>
      <c r="T53" s="1326" t="s">
        <v>177</v>
      </c>
      <c r="U53" s="1325"/>
      <c r="V53" s="1325"/>
      <c r="W53" s="1325"/>
      <c r="X53" s="1325"/>
      <c r="Y53" s="1325"/>
      <c r="Z53" s="1325"/>
      <c r="AA53" s="1325"/>
      <c r="AB53" s="1325"/>
      <c r="AC53" s="1325"/>
      <c r="AD53" s="1325"/>
      <c r="AE53" s="1325"/>
      <c r="AF53" s="1325"/>
      <c r="AG53" s="1325"/>
      <c r="AH53" s="1325"/>
      <c r="AI53" s="1325"/>
      <c r="AJ53" s="1325"/>
      <c r="AK53" s="1325"/>
      <c r="AM53" s="1252"/>
      <c r="AN53" s="1252" t="str">
        <f>IF(T53="","",T53)</f>
        <v>Добавить централизованную систему для дифференциации</v>
      </c>
      <c r="AO53" s="1252"/>
      <c r="AP53" s="1252"/>
      <c r="AQ53" s="1643">
        <v>1</v>
      </c>
    </row>
    <row s="1643" customFormat="1" customHeight="1" ht="1.05">
      <c r="A54" s="1376" t="s">
        <v>223</v>
      </c>
      <c r="B54" s="1376"/>
      <c r="C54" s="1376"/>
      <c r="D54" s="1376"/>
      <c r="E54" s="2291"/>
      <c r="F54" s="1376"/>
      <c r="G54" s="1376"/>
      <c r="H54" s="1376"/>
      <c r="I54" s="1376"/>
      <c r="J54" s="1376"/>
      <c r="K54" s="1376"/>
      <c r="L54" s="1382"/>
      <c r="M54" s="1380"/>
      <c r="N54" s="1380"/>
      <c r="O54" s="352"/>
      <c r="P54" s="381"/>
      <c r="Q54" s="1345"/>
      <c r="R54" s="381"/>
      <c r="S54" s="1323"/>
      <c r="T54" s="1326" t="s">
        <v>178</v>
      </c>
      <c r="U54" s="1325"/>
      <c r="V54" s="1325"/>
      <c r="W54" s="1325"/>
      <c r="X54" s="1325"/>
      <c r="Y54" s="1325"/>
      <c r="Z54" s="1325"/>
      <c r="AA54" s="1325"/>
      <c r="AB54" s="1325"/>
      <c r="AC54" s="1325"/>
      <c r="AD54" s="1325"/>
      <c r="AE54" s="1325"/>
      <c r="AF54" s="1325"/>
      <c r="AG54" s="1325"/>
      <c r="AH54" s="1325"/>
      <c r="AI54" s="1325"/>
      <c r="AJ54" s="1325"/>
      <c r="AK54" s="1325"/>
      <c r="AM54" s="1625"/>
      <c r="AN54" s="1625" t="str">
        <f>IF(T54="","",T54)</f>
        <v>Добавить территорию для дифференциации</v>
      </c>
      <c r="AO54" s="1625"/>
      <c r="AP54" s="1625"/>
      <c r="AQ54" s="1637">
        <v>1</v>
      </c>
    </row>
    <row s="1643" customFormat="1" customHeight="1" ht="1.05">
      <c r="A55" s="1376" t="s">
        <v>223</v>
      </c>
      <c r="B55" s="1376"/>
      <c r="C55" s="1376"/>
      <c r="D55" s="1376"/>
      <c r="E55" s="2290"/>
      <c r="F55" s="1376"/>
      <c r="G55" s="1376"/>
      <c r="H55" s="1376"/>
      <c r="I55" s="1376"/>
      <c r="J55" s="1376"/>
      <c r="K55" s="1376"/>
      <c r="L55" s="1382"/>
      <c r="M55" s="1380"/>
      <c r="N55" s="1380"/>
      <c r="O55" s="352"/>
      <c r="P55" s="381"/>
      <c r="Q55" s="1345"/>
      <c r="R55" s="381"/>
      <c r="S55" s="1323"/>
      <c r="T55" s="1326" t="s">
        <v>178</v>
      </c>
      <c r="U55" s="1325"/>
      <c r="V55" s="1325"/>
      <c r="W55" s="1325"/>
      <c r="X55" s="1325"/>
      <c r="Y55" s="1325"/>
      <c r="Z55" s="1325"/>
      <c r="AA55" s="1325"/>
      <c r="AB55" s="1325"/>
      <c r="AC55" s="1325"/>
      <c r="AD55" s="1325"/>
      <c r="AE55" s="1325"/>
      <c r="AF55" s="1325"/>
      <c r="AG55" s="1325"/>
      <c r="AH55" s="1325"/>
      <c r="AI55" s="1325"/>
      <c r="AJ55" s="1325"/>
      <c r="AK55" s="1325"/>
      <c r="AM55" s="1625"/>
      <c r="AN55" s="1625" t="str">
        <f>IF(T55="","",T55)</f>
        <v>Добавить территорию для дифференциации</v>
      </c>
      <c r="AO55" s="1625"/>
      <c r="AP55" s="1625"/>
      <c r="AQ55" s="1637">
        <v>1</v>
      </c>
    </row>
    <row s="1643" customFormat="1" customHeight="1" ht="1.05">
      <c r="A56" s="1375"/>
      <c r="B56" s="1375"/>
      <c r="C56" s="1375"/>
      <c r="D56" s="1375"/>
      <c r="E56" s="1376"/>
      <c r="F56" s="1375"/>
      <c r="G56" s="1375"/>
      <c r="H56" s="1375"/>
      <c r="I56" s="1375"/>
      <c r="J56" s="1375"/>
      <c r="K56" s="1375"/>
      <c r="L56" s="1378"/>
      <c r="M56" s="1380"/>
      <c r="N56" s="1380"/>
      <c r="O56" s="352"/>
      <c r="P56" s="1317"/>
      <c r="Q56" s="1318"/>
      <c r="R56" s="1317"/>
      <c r="S56" s="1323"/>
      <c r="T56" s="1326" t="s">
        <v>184</v>
      </c>
      <c r="U56" s="1325"/>
      <c r="V56" s="1325"/>
      <c r="W56" s="1325"/>
      <c r="X56" s="1325"/>
      <c r="Y56" s="1325"/>
      <c r="Z56" s="1325"/>
      <c r="AA56" s="1325"/>
      <c r="AB56" s="1325"/>
      <c r="AC56" s="1325"/>
      <c r="AD56" s="1325"/>
      <c r="AE56" s="1325"/>
      <c r="AF56" s="1325"/>
      <c r="AG56" s="1325"/>
      <c r="AH56" s="1325"/>
      <c r="AI56" s="1325"/>
      <c r="AJ56" s="1325"/>
      <c r="AK56" s="1325"/>
      <c r="AM56" s="1252"/>
      <c r="AN56" s="1252" t="str">
        <f>IF(T56="","",T56)</f>
        <v>Добавить наименование тарифа</v>
      </c>
      <c r="AO56" s="1252"/>
      <c r="AP56" s="1252"/>
      <c r="AQ56" s="1643">
        <v>1</v>
      </c>
    </row>
    <row customHeight="1" ht="11.549999999999999">
      <c r="M57" s="1632"/>
      <c r="N57" s="1632"/>
      <c r="O57" s="1636"/>
      <c r="P57" s="1367"/>
      <c r="Q57" s="1367"/>
      <c r="R57" s="1632"/>
      <c r="S57" s="1632"/>
      <c r="AL57" s="1632"/>
      <c r="AM57" s="1632"/>
      <c r="AN57" s="1632"/>
      <c r="AO57" s="1632"/>
      <c r="AP57" s="1632"/>
      <c r="AQ57" s="1632">
        <v>11</v>
      </c>
    </row>
    <row customHeight="1" ht="19.95">
      <c r="O58" s="1636"/>
      <c r="S58" s="1254"/>
      <c r="T58" s="2286"/>
      <c r="U58" s="2286"/>
      <c r="V58" s="2286"/>
      <c r="W58" s="2286"/>
      <c r="X58" s="2286"/>
      <c r="Y58" s="2286"/>
      <c r="Z58" s="2286"/>
      <c r="AA58" s="2286"/>
      <c r="AB58" s="2286"/>
      <c r="AC58" s="2286"/>
      <c r="AD58" s="2286"/>
      <c r="AE58" s="2286"/>
      <c r="AF58" s="2286"/>
      <c r="AG58" s="2286"/>
      <c r="AH58" s="2286"/>
      <c r="AI58" s="2286"/>
      <c r="AJ58" s="2286"/>
      <c r="AK58" s="2286"/>
      <c r="AQ58" s="1632">
        <v>19</v>
      </c>
    </row>
    <row customHeight="1" ht="21">
      <c r="O59" s="1636"/>
      <c r="T59" s="2286"/>
      <c r="U59" s="2286"/>
      <c r="V59" s="2286"/>
      <c r="W59" s="2286"/>
      <c r="X59" s="2286"/>
      <c r="Y59" s="2286"/>
      <c r="Z59" s="2286"/>
      <c r="AA59" s="2286"/>
      <c r="AB59" s="2286"/>
      <c r="AC59" s="2286"/>
      <c r="AD59" s="2286"/>
      <c r="AE59" s="2286"/>
      <c r="AF59" s="2286"/>
      <c r="AG59" s="2286"/>
      <c r="AH59" s="2286"/>
      <c r="AI59" s="2286"/>
      <c r="AJ59" s="2286"/>
      <c r="AK59" s="2286"/>
      <c r="AQ59" s="1632">
        <v>20</v>
      </c>
    </row>
    <row customHeight="1" ht="14.699999999999998">
      <c r="O60" s="1636"/>
      <c r="T60" s="1954"/>
      <c r="U60" s="1954"/>
      <c r="V60" s="1954"/>
      <c r="W60" s="1954"/>
      <c r="X60" s="1954"/>
      <c r="Y60" s="1954"/>
      <c r="Z60" s="1954"/>
      <c r="AA60" s="1954"/>
      <c r="AB60" s="1954"/>
      <c r="AC60" s="1954"/>
      <c r="AD60" s="1954"/>
      <c r="AE60" s="1954"/>
      <c r="AF60" s="1954"/>
      <c r="AG60" s="1954"/>
      <c r="AH60" s="1954"/>
      <c r="AI60" s="1954"/>
      <c r="AJ60" s="1954"/>
      <c r="AK60" s="1954"/>
      <c r="AQ60" s="1632">
        <v>14</v>
      </c>
    </row>
    <row customHeight="1" ht="19.95">
      <c r="O61" s="1636"/>
      <c r="T61" s="2286"/>
      <c r="U61" s="2286"/>
      <c r="V61" s="2286"/>
      <c r="W61" s="2286"/>
      <c r="X61" s="2286"/>
      <c r="Y61" s="2286"/>
      <c r="Z61" s="2286"/>
      <c r="AA61" s="2286"/>
      <c r="AB61" s="2286"/>
      <c r="AC61" s="2286"/>
      <c r="AD61" s="2286"/>
      <c r="AE61" s="2286"/>
      <c r="AF61" s="2286"/>
      <c r="AG61" s="2286"/>
      <c r="AH61" s="2286"/>
      <c r="AI61" s="2286"/>
      <c r="AJ61" s="2286"/>
      <c r="AK61" s="2286"/>
      <c r="AQ61" s="1632">
        <v>19</v>
      </c>
    </row>
    <row customHeight="1" ht="16.8">
      <c r="O62" s="1636"/>
      <c r="T62" s="2286"/>
      <c r="U62" s="2286"/>
      <c r="V62" s="2286"/>
      <c r="W62" s="2286"/>
      <c r="X62" s="2286"/>
      <c r="Y62" s="2286"/>
      <c r="Z62" s="2286"/>
      <c r="AA62" s="2286"/>
      <c r="AB62" s="2286"/>
      <c r="AC62" s="2286"/>
      <c r="AD62" s="2286"/>
      <c r="AE62" s="2286"/>
      <c r="AF62" s="2286"/>
      <c r="AG62" s="2286"/>
      <c r="AH62" s="2286"/>
      <c r="AI62" s="2286"/>
      <c r="AJ62" s="2286"/>
      <c r="AK62" s="2286"/>
      <c r="AQ62" s="1632">
        <v>16</v>
      </c>
    </row>
    <row customHeight="1" ht="14.699999999999998">
      <c r="O63" s="1636"/>
      <c r="AQ63" s="1632">
        <v>14</v>
      </c>
    </row>
    <row customHeight="1" ht="22.5" hidden="1">
      <c r="A64" s="1632" t="s">
        <v>83</v>
      </c>
      <c r="B64" s="1632">
        <v>0</v>
      </c>
      <c r="C64" s="1632">
        <v>0</v>
      </c>
      <c r="D64" s="1632">
        <v>0</v>
      </c>
      <c r="E64" s="1632">
        <v>0</v>
      </c>
      <c r="F64" s="1632">
        <v>0</v>
      </c>
      <c r="G64" s="1632">
        <v>0</v>
      </c>
      <c r="H64" s="1632">
        <v>0</v>
      </c>
      <c r="I64" s="1632">
        <v>0</v>
      </c>
      <c r="J64" s="1632">
        <v>0</v>
      </c>
      <c r="K64" s="1632">
        <v>0</v>
      </c>
      <c r="L64" s="1940">
        <v>0</v>
      </c>
      <c r="M64" s="1966">
        <v>0</v>
      </c>
      <c r="N64" s="1966">
        <v>0</v>
      </c>
      <c r="O64" s="1966">
        <v>0</v>
      </c>
      <c r="P64" s="1363">
        <v>3</v>
      </c>
      <c r="Q64" s="1372">
        <v>3</v>
      </c>
      <c r="R64" s="345">
        <v>3</v>
      </c>
      <c r="S64" s="582">
        <v>12</v>
      </c>
      <c r="T64" s="1632">
        <v>31</v>
      </c>
      <c r="U64" s="1632">
        <v>0</v>
      </c>
      <c r="V64" s="1632">
        <v>0</v>
      </c>
      <c r="W64" s="1632">
        <v>0</v>
      </c>
      <c r="X64" s="1632">
        <v>0</v>
      </c>
      <c r="Y64" s="1632">
        <v>0</v>
      </c>
      <c r="Z64" s="1632">
        <v>0</v>
      </c>
      <c r="AA64" s="1632">
        <v>0</v>
      </c>
      <c r="AB64" s="1632">
        <v>27</v>
      </c>
      <c r="AC64" s="1632">
        <v>24</v>
      </c>
      <c r="AD64" s="1632">
        <v>21</v>
      </c>
      <c r="AE64" s="1632">
        <v>21</v>
      </c>
      <c r="AF64" s="1632">
        <v>11</v>
      </c>
      <c r="AG64" s="1632">
        <v>3</v>
      </c>
      <c r="AH64" s="1632">
        <v>11</v>
      </c>
      <c r="AI64" s="1632">
        <v>8</v>
      </c>
      <c r="AJ64" s="1632">
        <v>4</v>
      </c>
      <c r="AK64" s="1632">
        <v>115</v>
      </c>
      <c r="AL64" s="1637">
        <v>10</v>
      </c>
      <c r="AM64" s="1637">
        <v>10</v>
      </c>
      <c r="AN64" s="1637">
        <v>10</v>
      </c>
      <c r="AO64" s="1637">
        <v>10</v>
      </c>
      <c r="AP64" s="1637">
        <v>10</v>
      </c>
      <c r="AQ64" s="1632">
        <v>23</v>
      </c>
    </row>
  </sheetData>
  <sheetProtection sort="0" autoFilter="0" insertRows="0" insertColumns="1" deleteRows="0" deleteColumns="0"/>
  <mergeCells count="89">
    <mergeCell ref="V38:W38"/>
    <mergeCell ref="V39:W39"/>
    <mergeCell ref="E2:E14"/>
    <mergeCell ref="V2:AA2"/>
    <mergeCell ref="AC2:AJ2"/>
    <mergeCell ref="F3:F13"/>
    <mergeCell ref="V3:AA3"/>
    <mergeCell ref="AC3:AJ3"/>
    <mergeCell ref="G4:G12"/>
    <mergeCell ref="V4:AA4"/>
    <mergeCell ref="AC4:AJ4"/>
    <mergeCell ref="H5:H11"/>
    <mergeCell ref="V5:AA5"/>
    <mergeCell ref="AC5:AJ5"/>
    <mergeCell ref="I6:I10"/>
    <mergeCell ref="P6:P10"/>
    <mergeCell ref="V6:AA6"/>
    <mergeCell ref="AC6:AJ6"/>
    <mergeCell ref="J7:J9"/>
    <mergeCell ref="Q7:Q9"/>
    <mergeCell ref="V7:AA7"/>
    <mergeCell ref="AC7:AJ7"/>
    <mergeCell ref="AK8:AK9"/>
    <mergeCell ref="S24:AH24"/>
    <mergeCell ref="S27:T27"/>
    <mergeCell ref="V27:Z27"/>
    <mergeCell ref="AC27:AH27"/>
    <mergeCell ref="S25:AH25"/>
    <mergeCell ref="S28:T28"/>
    <mergeCell ref="V28:Z28"/>
    <mergeCell ref="AC28:AH28"/>
    <mergeCell ref="S29:T29"/>
    <mergeCell ref="V29:Z29"/>
    <mergeCell ref="AC29:AH29"/>
    <mergeCell ref="S30:T30"/>
    <mergeCell ref="V30:Z30"/>
    <mergeCell ref="AC30:AH30"/>
    <mergeCell ref="S32:T32"/>
    <mergeCell ref="V32:Z32"/>
    <mergeCell ref="AC32:AH32"/>
    <mergeCell ref="S33:T33"/>
    <mergeCell ref="V33:Z33"/>
    <mergeCell ref="AC33:AH33"/>
    <mergeCell ref="V35:AA35"/>
    <mergeCell ref="AC35:AI35"/>
    <mergeCell ref="S36:AJ36"/>
    <mergeCell ref="AK36:AK40"/>
    <mergeCell ref="S37:S40"/>
    <mergeCell ref="T37:T40"/>
    <mergeCell ref="V37:Z37"/>
    <mergeCell ref="AA37:AA40"/>
    <mergeCell ref="AB37:AB40"/>
    <mergeCell ref="AC37:AC40"/>
    <mergeCell ref="AD37:AH37"/>
    <mergeCell ref="AI37:AI40"/>
    <mergeCell ref="AJ37:AJ40"/>
    <mergeCell ref="X38:Z39"/>
    <mergeCell ref="AD38:AE38"/>
    <mergeCell ref="AF38:AH39"/>
    <mergeCell ref="AD39:AE39"/>
    <mergeCell ref="Y40:Z40"/>
    <mergeCell ref="AG40:AH40"/>
    <mergeCell ref="Y41:Z41"/>
    <mergeCell ref="AG41:AH41"/>
    <mergeCell ref="E42:E55"/>
    <mergeCell ref="V42:AA42"/>
    <mergeCell ref="AC42:AJ42"/>
    <mergeCell ref="F43:F53"/>
    <mergeCell ref="V43:AA43"/>
    <mergeCell ref="AC43:AJ43"/>
    <mergeCell ref="G44:G52"/>
    <mergeCell ref="V44:AA44"/>
    <mergeCell ref="AC44:AJ44"/>
    <mergeCell ref="H45:H51"/>
    <mergeCell ref="V45:AA45"/>
    <mergeCell ref="AC45:AJ45"/>
    <mergeCell ref="I46:I50"/>
    <mergeCell ref="P46:P50"/>
    <mergeCell ref="V46:AA46"/>
    <mergeCell ref="AC46:AJ46"/>
    <mergeCell ref="J47:J49"/>
    <mergeCell ref="Q47:Q49"/>
    <mergeCell ref="T62:AK62"/>
    <mergeCell ref="V47:AA47"/>
    <mergeCell ref="AC47:AJ47"/>
    <mergeCell ref="AK48:AK49"/>
    <mergeCell ref="T58:AK58"/>
    <mergeCell ref="T59:AK59"/>
    <mergeCell ref="T61:AK61"/>
  </mergeCells>
  <dataValidations count="11">
    <dataValidation allowBlank="1" errorTitle="Ошибка" error="Выберите значение из списка" sqref="V39:W39"/>
    <dataValidation type="list" allowBlank="1" showInputMessage="1" showErrorMessage="1" errorTitle="Ошибка" error="Выберите значение из списка" prompt="Выберите значение из списка" sqref="AD39:AE39">
      <formula1>UNIT_CONNECT_LIST</formula1>
    </dataValidation>
    <dataValidation type="list" allowBlank="1" showInputMessage="1" showErrorMessage="1" errorTitle="Ошибка" error="Выберите значение из списка" sqref="T65584 T131120 T196656 T262192 T327728 T393264 T458800 T524336 T589872 T655408 T720944 T786480 T852016 T917552 T983088">
      <formula1>kind_of_heat_transfer</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X65584 X131120 X196656 X262192 X327728 X393264 X458800 X524336 X589872 X655408 X720944 X786480 X852016 X917552 X983088 Z65584 Z131120 Z196656 Z262192 Z327728 Z393264 Z458800 Z524336 Z589872 Z655408 Z720944 Z786480 Z852016 Z917552 Z983088 X8 Z8 AF65584 AF131120 AF196656 AF262192 AF327728 AF393264 AF458800 AF524336 AF589872 AF655408 AF720944 AF786480 AF852016 AF917552 AF983088 AH65584 AH131120 AH196656 AH262192 AH327728 AH393264 AH458800 AH524336 AH589872 AH655408 AH720944 AH786480 AH852016 AH917552 AH983088 AH8 AH48 AH16 AF16 AF8 AF48 Z48 X48"/>
    <dataValidation allowBlank="1" promptTitle="checkPeriodRange" sqref="W65585 W131121 W196657 W262193 W327729 W393265 W458801 W524337 W589873 W655409 W720945 W786481 W852017 W917553 W983089 AE65585 AE131121 AE196657 AE262193 AE327729 AE393265 AE458801 AE524337 AE589873 AE655409 AE720945 AE786481 AE852017 AE917553 AE983089"/>
    <dataValidation type="textLength" operator="lessThanOrEqual" allowBlank="1" showInputMessage="1" showErrorMessage="1" errorTitle="Ошибка" error="Допускается ввод не более 900 символов!" sqref="AK65578:AK65585 AK131114:AK131121 AK196650:AK196657 AK262186:AK262193 AK327722:AK327729 AK393258:AK393265 AK458794:AK458801 AK524330:AK524337 AK589866:AK589873 AK655402:AK655409 AK720938:AK720945 AK786474:AK786481 AK852010:AK852017 AK917546:AK917553 AK983082:AK983089 T8 T48 AB48 AB8">
      <formula1>900</formula1>
    </dataValidation>
    <dataValidation allowBlank="1" showInputMessage="1" showErrorMessage="1" prompt="Для выбора выполните двойной щелчок левой клавиши мыши по соответствующей ячейке." sqref="Y65584 Y131120 Y196656 Y262192 Y327728 Y393264 Y458800 Y524336 Y589872 Y655408 Y720944 Y786480 Y852016 Y917552 Y983088 AA131120:AB131120 AA458800:AB458800 AA196656:AB196656 AA262192:AB262192 AA327728:AB327728 AA393264:AB393264 AA524336:AB524336 AA589872:AB589872 AA655408:AB655408 AA720944:AB720944 AA786480:AB786480 AA852016:AB852016 AA917552:AB917552 AA983088:AB983088 AA65584:AB65584 AG48 Y8 AG65584 AG131120 AG196656 AG262192 AG327728 AG393264 AG458800 AG524336 AG589872 AG655408 AG720944 AG786480 AG852016 AG917552 AG983088 AI131120 AI458800 AI196656 AI262192 AI327728 AI393264 AI524336 AI589872 AI655408 AI720944 AI786480 AI852016 AI917552 AI983088 AI65584 AG8 AA48 AG16 AI48 AI16 AC16 Y48 AI8 AA8"/>
    <dataValidation type="list" allowBlank="1" showInputMessage="1" showErrorMessage="1" errorTitle="Ошибка" error="Выберите значение из списка" sqref="AC983086 AC917550 AC852014 AC786478 AC720942 AC655406 AC589870 AC524334 AC458798 AC393262 AC327726 AC262190 AC196654 AC131118 AC65582">
      <formula1>kind_of_scheme_in</formula1>
    </dataValidation>
    <dataValidation type="list" allowBlank="1" showInputMessage="1" errorTitle="Ошибка" error="Выберите значение из списка" prompt="Выберите значение из списка" sqref="V917551:AJ917551 V983087:AJ983087 V65583:AJ65583 V131119:AJ131119 V196655:AJ196655 V262191:AJ262191 V327727:AJ327727 V393263:AJ393263 V458799:AJ458799 V524335:AJ524335 V589871:AJ589871 V655407:AJ655407 V720943:AJ720943 V786479:AJ786479 V852015:AJ852015">
      <formula1>kind_of_cons</formula1>
    </dataValidation>
    <dataValidation allowBlank="1" sqref="S131122:AK131128 S196658:AK196664 S262194:AK262200 S327730:AK327736 S393266:AK393272 S458802:AK458808 S524338:AK524344 S589874:AK589880 S655410:AK655416 S720946:AK720952 S786482:AK786488 S852018:AK852024 S917554:AK917560 S983090:AK983096 S65586:AK65592"/>
    <dataValidation type="decimal" allowBlank="1" showErrorMessage="1" errorTitle="Ошибка" error="Допускается ввод только действительных чисел!" sqref="AC48 AC8">
      <formula1>-9.99999999999999E+23</formula1>
      <formula2>9.99999999999999E+23</formula2>
    </dataValidation>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AA483F68-9E88-5F58-1F98-C2026A19478A}" mc:Ignorable="x14ac xr xr2 xr3">
  <sheetPr>
    <tabColor theme="6" tint="0.4"/>
  </sheetPr>
  <dimension ref="A1:BI69"/>
  <sheetViews>
    <sheetView showGridLines="0" zoomScale="90" workbookViewId="0">
      <pane xSplit="29" ySplit="45" topLeftCell="AD46" activePane="bottomRight" state="frozen"/>
      <selection pane="bottomLeft" activeCell="A46" sqref="A46"/>
      <selection pane="topRight" activeCell="AD1" sqref="AD1"/>
      <selection pane="bottomRight" activeCell="A1" sqref="A1"/>
    </sheetView>
  </sheetViews>
  <sheetFormatPr defaultColWidth="10.57421875" customHeight="1" defaultRowHeight="14.25"/>
  <cols>
    <col min="1" max="1" style="1367" width="11.57421875" hidden="1" customWidth="1"/>
    <col min="2" max="2" style="1367" width="11.00390625" hidden="1" customWidth="1"/>
    <col min="3" max="3" style="1367" width="10.57421875" hidden="1"/>
    <col min="4" max="4" style="1367" width="12.8515625" hidden="1" customWidth="1"/>
    <col min="5" max="5" style="1367" width="10.00390625" hidden="1" customWidth="1"/>
    <col min="6" max="6" style="1367" width="8.7109375" hidden="1" customWidth="1"/>
    <col min="7" max="7" style="1367" width="7.57421875" hidden="1" customWidth="1"/>
    <col min="8" max="8" style="1367" width="11.421875" hidden="1" customWidth="1"/>
    <col min="9" max="9" style="1367" width="12.00390625" hidden="1" customWidth="1"/>
    <col min="10" max="10" style="1367" width="9.8515625" hidden="1" customWidth="1"/>
    <col min="11" max="11" style="1367" width="11.421875" hidden="1" customWidth="1"/>
    <col min="12" max="12" style="2608" width="19.140625" hidden="1" customWidth="1"/>
    <col min="13" max="14" style="1777" width="12.28125" hidden="1" customWidth="1"/>
    <col min="15" max="15" style="1777" width="23.421875" hidden="1" customWidth="1"/>
    <col min="16" max="16" style="1777" width="3.7109375" hidden="1" customWidth="1"/>
    <col min="17" max="17" style="1372" width="3.7109375" hidden="1" customWidth="1"/>
    <col min="18" max="18" style="345" width="3.00390625" customWidth="1"/>
    <col min="19" max="19" style="2408" width="12.00390625" customWidth="1"/>
    <col min="20" max="20" style="1636" width="31.00390625" customWidth="1"/>
    <col min="21" max="21" style="1636" width="0.140625" customWidth="1"/>
    <col min="22" max="25" style="1636" width="21.7109375" hidden="1" customWidth="1"/>
    <col min="26" max="26" style="1636" width="11.7109375" hidden="1" customWidth="1"/>
    <col min="27" max="27" style="1636" width="3.7109375" hidden="1" customWidth="1"/>
    <col min="28" max="28" style="1636" width="11.7109375" hidden="1" customWidth="1"/>
    <col min="29" max="29" style="1636" width="8.57421875" hidden="1" customWidth="1"/>
    <col min="30" max="30" style="1636" width="3.7109375" customWidth="1"/>
    <col min="31" max="32" style="1636" width="3.00390625" customWidth="1"/>
    <col min="33" max="33" style="1636" width="24.00390625" customWidth="1"/>
    <col min="34" max="34" style="1636" width="3.7109375" customWidth="1"/>
    <col min="35" max="36" style="1636" width="3.00390625" customWidth="1"/>
    <col min="37" max="37" style="1636" width="24.00390625" customWidth="1"/>
    <col min="38" max="38" style="1636" width="3.7109375" customWidth="1"/>
    <col min="39" max="40" style="1636" width="3.00390625" customWidth="1"/>
    <col min="41" max="41" style="1636" width="18.00390625" customWidth="1"/>
    <col min="42" max="42" style="1636" width="3.7109375" customWidth="1"/>
    <col min="43" max="44" style="1636" width="3.00390625" customWidth="1"/>
    <col min="45" max="45" style="1636" width="18.00390625" customWidth="1"/>
    <col min="46" max="49" style="1636" width="21.00390625" customWidth="1"/>
    <col min="50" max="50" style="1636" width="11.00390625" customWidth="1"/>
    <col min="51" max="51" style="1636" width="3.7109375" customWidth="1"/>
    <col min="52" max="52" style="1636" width="11.00390625" customWidth="1"/>
    <col min="53" max="53" style="1636" width="8.57421875" hidden="1" customWidth="1"/>
    <col min="54" max="54" style="1636" width="4.00390625" customWidth="1"/>
    <col min="55" max="55" style="1636" width="115.00390625" customWidth="1"/>
    <col min="56" max="60" style="1643" width="10.00390625" customWidth="1"/>
    <col min="61" max="61" style="1636" width="10.57421875" hidden="1"/>
  </cols>
  <sheetData>
    <row customHeight="1" ht="22.5" hidden="1">
      <c r="W1" s="328"/>
      <c r="Y1" s="328"/>
      <c r="Z1" s="328"/>
      <c r="AW1" s="328"/>
      <c r="AX1" s="328"/>
      <c r="BI1" s="1156" t="s">
        <v>14</v>
      </c>
    </row>
    <row customHeight="1" ht="21" hidden="1">
      <c r="A2" s="1364"/>
      <c r="B2" s="1364"/>
      <c r="C2" s="1364"/>
      <c r="D2" s="1364"/>
      <c r="E2" s="2259">
        <v>1</v>
      </c>
      <c r="F2" s="1364"/>
      <c r="G2" s="1364"/>
      <c r="H2" s="1364"/>
      <c r="I2" s="1364"/>
      <c r="J2" s="1364"/>
      <c r="K2" s="1364"/>
      <c r="L2" s="1365"/>
      <c r="M2" s="1366"/>
      <c r="N2" s="1366"/>
      <c r="O2" s="1366"/>
      <c r="P2" s="1410"/>
      <c r="Q2" s="874"/>
      <c r="R2" s="356"/>
      <c r="S2" s="1466">
        <f>INDEX(PT_DIFFERENTIATION_NUM_NTAR,MATCH(A2,PT_DIFFERENTIATION_NTAR_ID,0))</f>
      </c>
      <c r="T2" s="299" t="s">
        <v>131</v>
      </c>
      <c r="U2" s="301"/>
      <c r="V2" s="2244"/>
      <c r="W2" s="2244"/>
      <c r="X2" s="2244"/>
      <c r="Y2" s="2244"/>
      <c r="Z2" s="2244"/>
      <c r="AA2" s="2244"/>
      <c r="AB2" s="2244"/>
      <c r="AC2" s="2245"/>
      <c r="AD2" s="2243">
        <f>INDEX(PT_DIFFERENTIATION_NTAR,MATCH(A2,PT_DIFFERENTIATION_NTAR_ID,0))</f>
      </c>
      <c r="AE2" s="2244"/>
      <c r="AF2" s="2244"/>
      <c r="AG2" s="2244"/>
      <c r="AH2" s="2244"/>
      <c r="AI2" s="2244"/>
      <c r="AJ2" s="2244"/>
      <c r="AK2" s="2244"/>
      <c r="AL2" s="2244"/>
      <c r="AM2" s="2244"/>
      <c r="AN2" s="2244"/>
      <c r="AO2" s="2244"/>
      <c r="AP2" s="2244"/>
      <c r="AQ2" s="2244"/>
      <c r="AR2" s="2244"/>
      <c r="AS2" s="2244"/>
      <c r="AT2" s="2244"/>
      <c r="AU2" s="2244"/>
      <c r="AV2" s="2244"/>
      <c r="AW2" s="2244"/>
      <c r="AX2" s="2244"/>
      <c r="AY2" s="2244"/>
      <c r="AZ2" s="2244"/>
      <c r="BA2" s="2244"/>
      <c r="BB2" s="2245"/>
      <c r="BC2" s="1259"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BE2" s="501"/>
      <c r="BF2" s="501" t="str">
        <f>IF(T2="","",T2)</f>
        <v>Наименование тарифа</v>
      </c>
      <c r="BG2" s="501"/>
      <c r="BH2" s="501"/>
      <c r="BI2" s="1156">
        <v>0</v>
      </c>
    </row>
    <row customHeight="1" ht="21" hidden="1">
      <c r="A3" s="1364"/>
      <c r="B3" s="1364"/>
      <c r="C3" s="1364"/>
      <c r="D3" s="1364"/>
      <c r="E3" s="2260"/>
      <c r="F3" s="2259">
        <v>1</v>
      </c>
      <c r="G3" s="1364"/>
      <c r="H3" s="1364"/>
      <c r="I3" s="1364"/>
      <c r="J3" s="1364"/>
      <c r="K3" s="1364"/>
      <c r="L3" s="1365"/>
      <c r="M3" s="1366"/>
      <c r="N3" s="1366"/>
      <c r="O3" s="1366"/>
      <c r="P3" s="1411"/>
      <c r="Q3" s="1412"/>
      <c r="R3" s="354"/>
      <c r="S3" s="1466">
        <f>INDEX(PT_DIFFERENTIATION_NUM_TER,MATCH(B3,PT_DIFFERENTIATION_TER_ID,0))</f>
      </c>
      <c r="T3" s="309" t="s">
        <v>414</v>
      </c>
      <c r="U3" s="301"/>
      <c r="V3" s="2244"/>
      <c r="W3" s="2244"/>
      <c r="X3" s="2244"/>
      <c r="Y3" s="2244"/>
      <c r="Z3" s="2244"/>
      <c r="AA3" s="2244"/>
      <c r="AB3" s="2244"/>
      <c r="AC3" s="2245"/>
      <c r="AD3" s="2243">
        <f>INDEX(PT_DIFFERENTIATION_TER,MATCH(B3,PT_DIFFERENTIATION_TER_ID,0))</f>
      </c>
      <c r="AE3" s="2244"/>
      <c r="AF3" s="2244"/>
      <c r="AG3" s="2244"/>
      <c r="AH3" s="2244"/>
      <c r="AI3" s="2244"/>
      <c r="AJ3" s="2244"/>
      <c r="AK3" s="2244"/>
      <c r="AL3" s="2244"/>
      <c r="AM3" s="2244"/>
      <c r="AN3" s="2244"/>
      <c r="AO3" s="2244"/>
      <c r="AP3" s="2244"/>
      <c r="AQ3" s="2244"/>
      <c r="AR3" s="2244"/>
      <c r="AS3" s="2244"/>
      <c r="AT3" s="2244"/>
      <c r="AU3" s="2244"/>
      <c r="AV3" s="2244"/>
      <c r="AW3" s="2244"/>
      <c r="AX3" s="2244"/>
      <c r="AY3" s="2244"/>
      <c r="AZ3" s="2244"/>
      <c r="BA3" s="2244"/>
      <c r="BB3" s="2245"/>
      <c r="BC3" s="1259" t="s">
        <v>415</v>
      </c>
      <c r="BE3" s="501"/>
      <c r="BF3" s="501" t="str">
        <f>IF(T3="","",T3)</f>
        <v>Территория действия тарифа</v>
      </c>
      <c r="BG3" s="501"/>
      <c r="BH3" s="501"/>
      <c r="BI3" s="1156">
        <v>0</v>
      </c>
    </row>
    <row customHeight="1" ht="42" hidden="1">
      <c r="A4" s="1364"/>
      <c r="B4" s="1364"/>
      <c r="C4" s="1364"/>
      <c r="D4" s="1364"/>
      <c r="E4" s="2260"/>
      <c r="F4" s="2260"/>
      <c r="G4" s="2259">
        <v>1</v>
      </c>
      <c r="H4" s="1364"/>
      <c r="I4" s="1364"/>
      <c r="J4" s="1364"/>
      <c r="K4" s="1364"/>
      <c r="L4" s="1365"/>
      <c r="M4" s="1366"/>
      <c r="N4" s="1366"/>
      <c r="O4" s="1366"/>
      <c r="P4" s="1413"/>
      <c r="Q4" s="1412"/>
      <c r="R4" s="354"/>
      <c r="S4" s="1466">
        <f>INDEX(PT_DIFFERENTIATION_NUM_CS,MATCH(C4,PT_DIFFERENTIATION_CS_ID,0))</f>
      </c>
      <c r="T4" s="310" t="s">
        <v>500</v>
      </c>
      <c r="U4" s="301"/>
      <c r="V4" s="2244"/>
      <c r="W4" s="2244"/>
      <c r="X4" s="2244"/>
      <c r="Y4" s="2244"/>
      <c r="Z4" s="2244"/>
      <c r="AA4" s="2244"/>
      <c r="AB4" s="2244"/>
      <c r="AC4" s="2245"/>
      <c r="AD4" s="2243">
        <f>INDEX(PT_DIFFERENTIATION_CS,MATCH(C4,PT_DIFFERENTIATION_CS_ID,0))</f>
      </c>
      <c r="AE4" s="2244"/>
      <c r="AF4" s="2244"/>
      <c r="AG4" s="2244"/>
      <c r="AH4" s="2244"/>
      <c r="AI4" s="2244"/>
      <c r="AJ4" s="2244"/>
      <c r="AK4" s="2244"/>
      <c r="AL4" s="2244"/>
      <c r="AM4" s="2244"/>
      <c r="AN4" s="2244"/>
      <c r="AO4" s="2244"/>
      <c r="AP4" s="2244"/>
      <c r="AQ4" s="2244"/>
      <c r="AR4" s="2244"/>
      <c r="AS4" s="2244"/>
      <c r="AT4" s="2244"/>
      <c r="AU4" s="2244"/>
      <c r="AV4" s="2244"/>
      <c r="AW4" s="2244"/>
      <c r="AX4" s="2244"/>
      <c r="AY4" s="2244"/>
      <c r="AZ4" s="2244"/>
      <c r="BA4" s="2244"/>
      <c r="BB4" s="2245"/>
      <c r="BC4" s="1259" t="s">
        <v>501</v>
      </c>
      <c r="BE4" s="501"/>
      <c r="BF4" s="501" t="str">
        <f>IF(T4="","",T4)</f>
        <v>Наименование централизованной системы холодного водоснабжения</v>
      </c>
      <c r="BG4" s="501"/>
      <c r="BH4" s="501"/>
      <c r="BI4" s="1156">
        <v>0</v>
      </c>
    </row>
    <row s="1643" customFormat="1" customHeight="1" ht="14.25" hidden="1">
      <c r="A5" s="1344"/>
      <c r="B5" s="1344"/>
      <c r="C5" s="1344"/>
      <c r="D5" s="1344"/>
      <c r="E5" s="2260"/>
      <c r="F5" s="2260"/>
      <c r="G5" s="2260"/>
      <c r="H5" s="2259">
        <v>1</v>
      </c>
      <c r="I5" s="1344"/>
      <c r="J5" s="1344"/>
      <c r="K5" s="1344"/>
      <c r="L5" s="1347"/>
      <c r="M5" s="1316"/>
      <c r="N5" s="1316"/>
      <c r="O5" s="1316"/>
      <c r="P5" s="1498"/>
      <c r="Q5" s="1499"/>
      <c r="R5" s="358"/>
      <c r="S5" s="1043"/>
      <c r="T5" s="1500"/>
      <c r="U5" s="1385"/>
      <c r="V5" s="2298"/>
      <c r="W5" s="2298"/>
      <c r="X5" s="2298"/>
      <c r="Y5" s="2298"/>
      <c r="Z5" s="2298"/>
      <c r="AA5" s="2298"/>
      <c r="AB5" s="2298"/>
      <c r="AC5" s="2299"/>
      <c r="AD5" s="2297"/>
      <c r="AE5" s="2298"/>
      <c r="AF5" s="2298"/>
      <c r="AG5" s="2298"/>
      <c r="AH5" s="2298"/>
      <c r="AI5" s="2298"/>
      <c r="AJ5" s="2298"/>
      <c r="AK5" s="2298"/>
      <c r="AL5" s="2298"/>
      <c r="AM5" s="2298"/>
      <c r="AN5" s="2298"/>
      <c r="AO5" s="2298"/>
      <c r="AP5" s="2298"/>
      <c r="AQ5" s="2298"/>
      <c r="AR5" s="2298"/>
      <c r="AS5" s="2298"/>
      <c r="AT5" s="2298"/>
      <c r="AU5" s="2298"/>
      <c r="AV5" s="2298"/>
      <c r="AW5" s="2298"/>
      <c r="AX5" s="2298"/>
      <c r="AY5" s="2298"/>
      <c r="AZ5" s="2298"/>
      <c r="BA5" s="2298"/>
      <c r="BB5" s="2299"/>
      <c r="BC5" s="1386" t="s">
        <v>419</v>
      </c>
      <c r="BE5" s="501"/>
      <c r="BF5" s="501" t="str">
        <f>IF(T5="","",T5)</f>
        <v/>
      </c>
      <c r="BG5" s="501"/>
      <c r="BH5" s="501"/>
      <c r="BI5" s="512">
        <v>0</v>
      </c>
    </row>
    <row s="1643" customFormat="1" customHeight="1" ht="14.25" hidden="1">
      <c r="A6" s="1344"/>
      <c r="B6" s="1344"/>
      <c r="C6" s="1344"/>
      <c r="D6" s="1344"/>
      <c r="E6" s="2260"/>
      <c r="F6" s="2260"/>
      <c r="G6" s="2260"/>
      <c r="H6" s="2260"/>
      <c r="I6" s="2257" t="str">
        <f>S5&amp;".1"</f>
        <v>.1</v>
      </c>
      <c r="J6" s="1344"/>
      <c r="K6" s="1344"/>
      <c r="L6" s="1347" t="s">
        <v>420</v>
      </c>
      <c r="M6" s="511"/>
      <c r="N6" s="511"/>
      <c r="O6" s="511"/>
      <c r="P6" s="2258">
        <v>1</v>
      </c>
      <c r="Q6" s="1463"/>
      <c r="R6" s="357"/>
      <c r="S6" s="1043"/>
      <c r="T6" s="1384"/>
      <c r="U6" s="1385"/>
      <c r="V6" s="2298"/>
      <c r="W6" s="2298"/>
      <c r="X6" s="2298"/>
      <c r="Y6" s="2298"/>
      <c r="Z6" s="2298"/>
      <c r="AA6" s="2298"/>
      <c r="AB6" s="2298"/>
      <c r="AC6" s="2299"/>
      <c r="AD6" s="2297"/>
      <c r="AE6" s="2298"/>
      <c r="AF6" s="2298"/>
      <c r="AG6" s="2298"/>
      <c r="AH6" s="2298"/>
      <c r="AI6" s="2298"/>
      <c r="AJ6" s="2298"/>
      <c r="AK6" s="2298"/>
      <c r="AL6" s="2298"/>
      <c r="AM6" s="2298"/>
      <c r="AN6" s="2298"/>
      <c r="AO6" s="2298"/>
      <c r="AP6" s="2298"/>
      <c r="AQ6" s="2298"/>
      <c r="AR6" s="2298"/>
      <c r="AS6" s="2298"/>
      <c r="AT6" s="2298"/>
      <c r="AU6" s="2298"/>
      <c r="AV6" s="2298"/>
      <c r="AW6" s="2298"/>
      <c r="AX6" s="2298"/>
      <c r="AY6" s="2298"/>
      <c r="AZ6" s="2298"/>
      <c r="BA6" s="2298"/>
      <c r="BB6" s="2299"/>
      <c r="BC6" s="1386"/>
      <c r="BE6" s="501"/>
      <c r="BF6" s="501" t="str">
        <f>IF(T6="","",T6)</f>
        <v/>
      </c>
      <c r="BG6" s="501"/>
      <c r="BH6" s="501"/>
      <c r="BI6" s="512">
        <v>0</v>
      </c>
    </row>
    <row s="1643" customFormat="1" customHeight="1" ht="14.25" hidden="1">
      <c r="A7" s="1344"/>
      <c r="B7" s="1344"/>
      <c r="C7" s="1344"/>
      <c r="D7" s="1344"/>
      <c r="E7" s="2260"/>
      <c r="F7" s="2260"/>
      <c r="G7" s="2260"/>
      <c r="H7" s="2260"/>
      <c r="I7" s="2287"/>
      <c r="J7" s="2257" t="str">
        <f>S5&amp;".1"</f>
        <v>.1</v>
      </c>
      <c r="K7" s="1344"/>
      <c r="L7" s="1347"/>
      <c r="M7" s="511"/>
      <c r="N7" s="511"/>
      <c r="O7" s="511"/>
      <c r="P7" s="2258"/>
      <c r="Q7" s="2258">
        <v>1</v>
      </c>
      <c r="R7" s="358"/>
      <c r="S7" s="1043"/>
      <c r="T7" s="1400"/>
      <c r="U7" s="1385"/>
      <c r="V7" s="2298"/>
      <c r="W7" s="2298"/>
      <c r="X7" s="2298"/>
      <c r="Y7" s="2298"/>
      <c r="Z7" s="2298"/>
      <c r="AA7" s="2298"/>
      <c r="AB7" s="2298"/>
      <c r="AC7" s="2299"/>
      <c r="AD7" s="2297"/>
      <c r="AE7" s="2298"/>
      <c r="AF7" s="2298"/>
      <c r="AG7" s="2298"/>
      <c r="AH7" s="2298"/>
      <c r="AI7" s="2298"/>
      <c r="AJ7" s="2298"/>
      <c r="AK7" s="2298"/>
      <c r="AL7" s="2298"/>
      <c r="AM7" s="2298"/>
      <c r="AN7" s="2298"/>
      <c r="AO7" s="2298"/>
      <c r="AP7" s="2298"/>
      <c r="AQ7" s="2298"/>
      <c r="AR7" s="2298"/>
      <c r="AS7" s="2298"/>
      <c r="AT7" s="2298"/>
      <c r="AU7" s="2298"/>
      <c r="AV7" s="2298"/>
      <c r="AW7" s="2298"/>
      <c r="AX7" s="2298"/>
      <c r="AY7" s="2298"/>
      <c r="AZ7" s="2298"/>
      <c r="BA7" s="2298"/>
      <c r="BB7" s="2299"/>
      <c r="BC7" s="1386"/>
      <c r="BE7" s="501"/>
      <c r="BF7" s="501" t="str">
        <f>IF(T7="","",T7)</f>
        <v/>
      </c>
      <c r="BG7" s="501"/>
      <c r="BH7" s="501"/>
      <c r="BI7" s="512">
        <v>0</v>
      </c>
    </row>
    <row customHeight="1" ht="11.25" hidden="1">
      <c r="A8" s="1364"/>
      <c r="B8" s="1364"/>
      <c r="C8" s="1364"/>
      <c r="D8" s="1364"/>
      <c r="E8" s="2260"/>
      <c r="F8" s="2260"/>
      <c r="G8" s="2260"/>
      <c r="H8" s="2260"/>
      <c r="I8" s="2287"/>
      <c r="J8" s="2287"/>
      <c r="K8" s="2257">
        <f>S4&amp;".1"</f>
      </c>
      <c r="L8" s="1365"/>
      <c r="P8" s="2258"/>
      <c r="Q8" s="2258"/>
      <c r="R8" s="2348">
        <v>1</v>
      </c>
      <c r="S8" s="2342">
        <f>$K8</f>
      </c>
      <c r="T8" s="2361"/>
      <c r="U8" s="301"/>
      <c r="V8" s="752"/>
      <c r="W8" s="1258"/>
      <c r="X8" s="752"/>
      <c r="Y8" s="1258"/>
      <c r="Z8" s="1735"/>
      <c r="AA8" s="1460" t="s">
        <v>61</v>
      </c>
      <c r="AB8" s="1735"/>
      <c r="AC8" s="1460" t="s">
        <v>61</v>
      </c>
      <c r="AD8" s="2186" t="s">
        <v>61</v>
      </c>
      <c r="AE8" s="2327"/>
      <c r="AF8" s="2206">
        <v>1</v>
      </c>
      <c r="AG8" s="2364"/>
      <c r="AH8" s="2108" t="s">
        <v>61</v>
      </c>
      <c r="AI8" s="2327"/>
      <c r="AJ8" s="2206">
        <v>1</v>
      </c>
      <c r="AK8" s="2328" t="s">
        <v>28</v>
      </c>
      <c r="AL8" s="2108" t="s">
        <v>61</v>
      </c>
      <c r="AM8" s="2193"/>
      <c r="AN8" s="2206">
        <v>1</v>
      </c>
      <c r="AO8" s="2358"/>
      <c r="AP8" s="2359" t="s">
        <v>61</v>
      </c>
      <c r="AQ8" s="312"/>
      <c r="AR8" s="1464">
        <v>1</v>
      </c>
      <c r="AS8" s="1467" t="s">
        <v>28</v>
      </c>
      <c r="AT8" s="752"/>
      <c r="AU8" s="1258"/>
      <c r="AV8" s="752"/>
      <c r="AW8" s="1258"/>
      <c r="AX8" s="1735"/>
      <c r="AY8" s="1460" t="s">
        <v>61</v>
      </c>
      <c r="AZ8" s="1735"/>
      <c r="BA8" s="1460" t="s">
        <v>61</v>
      </c>
      <c r="BB8" s="1349"/>
      <c r="BC8" s="2254" t="s">
        <v>520</v>
      </c>
      <c r="BE8" s="501"/>
      <c r="BF8" s="501" t="str">
        <f>IF(T8="","",T8)</f>
        <v/>
      </c>
      <c r="BG8" s="501"/>
      <c r="BH8" s="501"/>
      <c r="BI8" s="1156">
        <v>0</v>
      </c>
    </row>
    <row customHeight="1" ht="11.25" hidden="1">
      <c r="A9" s="1364"/>
      <c r="B9" s="1364"/>
      <c r="C9" s="1364"/>
      <c r="D9" s="1364"/>
      <c r="E9" s="2260"/>
      <c r="F9" s="2260"/>
      <c r="G9" s="2260"/>
      <c r="H9" s="2260"/>
      <c r="I9" s="2287"/>
      <c r="J9" s="2287"/>
      <c r="K9" s="2257"/>
      <c r="L9" s="1365"/>
      <c r="P9" s="2258"/>
      <c r="Q9" s="2258"/>
      <c r="R9" s="2348"/>
      <c r="S9" s="2343"/>
      <c r="T9" s="2362"/>
      <c r="U9" s="301"/>
      <c r="V9" s="1394"/>
      <c r="W9" s="1497"/>
      <c r="X9" s="1394"/>
      <c r="Y9" s="1497"/>
      <c r="Z9" s="1394"/>
      <c r="AA9" s="1394"/>
      <c r="AB9" s="1394"/>
      <c r="AC9" s="1394"/>
      <c r="AD9" s="2187"/>
      <c r="AE9" s="2327"/>
      <c r="AF9" s="2206"/>
      <c r="AG9" s="2364"/>
      <c r="AH9" s="2108"/>
      <c r="AI9" s="2327"/>
      <c r="AJ9" s="2206"/>
      <c r="AK9" s="2328"/>
      <c r="AL9" s="2108"/>
      <c r="AM9" s="2201"/>
      <c r="AN9" s="2206"/>
      <c r="AO9" s="2358"/>
      <c r="AP9" s="2360"/>
      <c r="AQ9" s="317"/>
      <c r="AR9" s="417"/>
      <c r="AS9" s="417" t="s">
        <v>521</v>
      </c>
      <c r="AT9" s="1394"/>
      <c r="AU9" s="1497"/>
      <c r="AV9" s="1394"/>
      <c r="AW9" s="1497"/>
      <c r="AX9" s="1394"/>
      <c r="AY9" s="1394"/>
      <c r="AZ9" s="1394"/>
      <c r="BA9" s="1394"/>
      <c r="BB9" s="1398"/>
      <c r="BC9" s="2255"/>
      <c r="BE9" s="501"/>
      <c r="BF9" s="501"/>
      <c r="BG9" s="501"/>
      <c r="BH9" s="501"/>
      <c r="BI9" s="1156">
        <v>0</v>
      </c>
    </row>
    <row customHeight="1" ht="11.25" hidden="1">
      <c r="A10" s="1364"/>
      <c r="B10" s="1364"/>
      <c r="C10" s="1364"/>
      <c r="D10" s="1364"/>
      <c r="E10" s="2260"/>
      <c r="F10" s="2260"/>
      <c r="G10" s="2260"/>
      <c r="H10" s="2260"/>
      <c r="I10" s="2287"/>
      <c r="J10" s="2287"/>
      <c r="K10" s="2257"/>
      <c r="L10" s="1365"/>
      <c r="P10" s="2258"/>
      <c r="Q10" s="2258"/>
      <c r="R10" s="2348"/>
      <c r="S10" s="2343"/>
      <c r="T10" s="2362"/>
      <c r="U10" s="301"/>
      <c r="V10" s="1394"/>
      <c r="W10" s="1497"/>
      <c r="X10" s="1394"/>
      <c r="Y10" s="1497"/>
      <c r="Z10" s="1394"/>
      <c r="AA10" s="1394"/>
      <c r="AB10" s="1394"/>
      <c r="AC10" s="1394"/>
      <c r="AD10" s="2187"/>
      <c r="AE10" s="2327"/>
      <c r="AF10" s="2206"/>
      <c r="AG10" s="2364"/>
      <c r="AH10" s="2108"/>
      <c r="AI10" s="2327"/>
      <c r="AJ10" s="2206"/>
      <c r="AK10" s="2328"/>
      <c r="AL10" s="2108"/>
      <c r="AM10" s="317"/>
      <c r="AN10" s="1501"/>
      <c r="AO10" s="1501" t="s">
        <v>522</v>
      </c>
      <c r="AP10" s="417"/>
      <c r="AQ10" s="417"/>
      <c r="AR10" s="417"/>
      <c r="AS10" s="1394"/>
      <c r="AT10" s="1394"/>
      <c r="AU10" s="1497"/>
      <c r="AV10" s="1394"/>
      <c r="AW10" s="1497"/>
      <c r="AX10" s="1394"/>
      <c r="AY10" s="1394"/>
      <c r="AZ10" s="1394"/>
      <c r="BA10" s="1394"/>
      <c r="BB10" s="1398"/>
      <c r="BC10" s="2255"/>
      <c r="BE10" s="501"/>
      <c r="BF10" s="501"/>
      <c r="BG10" s="501"/>
      <c r="BH10" s="501"/>
      <c r="BI10" s="1156">
        <v>0</v>
      </c>
    </row>
    <row customHeight="1" ht="11.25" hidden="1">
      <c r="A11" s="1364"/>
      <c r="B11" s="1364"/>
      <c r="C11" s="1364"/>
      <c r="D11" s="1364"/>
      <c r="E11" s="2260"/>
      <c r="F11" s="2260"/>
      <c r="G11" s="2260"/>
      <c r="H11" s="2260"/>
      <c r="I11" s="2287"/>
      <c r="J11" s="2287"/>
      <c r="K11" s="2257"/>
      <c r="L11" s="1365"/>
      <c r="P11" s="2258"/>
      <c r="Q11" s="2258"/>
      <c r="R11" s="2348"/>
      <c r="S11" s="2343"/>
      <c r="T11" s="2362"/>
      <c r="U11" s="301"/>
      <c r="V11" s="1394"/>
      <c r="W11" s="1497"/>
      <c r="X11" s="1394"/>
      <c r="Y11" s="1497"/>
      <c r="Z11" s="1394"/>
      <c r="AA11" s="1394"/>
      <c r="AB11" s="1394"/>
      <c r="AC11" s="1394"/>
      <c r="AD11" s="2187"/>
      <c r="AE11" s="2327"/>
      <c r="AF11" s="2206"/>
      <c r="AG11" s="2364"/>
      <c r="AH11" s="2108"/>
      <c r="AI11" s="295"/>
      <c r="AJ11" s="416"/>
      <c r="AK11" s="314" t="s">
        <v>523</v>
      </c>
      <c r="AL11" s="1394"/>
      <c r="AM11" s="1394"/>
      <c r="AN11" s="1394"/>
      <c r="AO11" s="1394"/>
      <c r="AP11" s="1394"/>
      <c r="AQ11" s="1394"/>
      <c r="AR11" s="1394"/>
      <c r="AS11" s="1394"/>
      <c r="AT11" s="1394"/>
      <c r="AU11" s="1497"/>
      <c r="AV11" s="1394"/>
      <c r="AW11" s="1497"/>
      <c r="AX11" s="1394"/>
      <c r="AY11" s="1394"/>
      <c r="AZ11" s="1394"/>
      <c r="BA11" s="1394"/>
      <c r="BB11" s="1398"/>
      <c r="BC11" s="2255"/>
      <c r="BE11" s="501"/>
      <c r="BF11" s="501"/>
      <c r="BG11" s="501"/>
      <c r="BH11" s="501"/>
      <c r="BI11" s="1156">
        <v>0</v>
      </c>
    </row>
    <row customHeight="1" ht="11.25" hidden="1">
      <c r="A12" s="1364"/>
      <c r="B12" s="1364"/>
      <c r="C12" s="1364"/>
      <c r="D12" s="1364"/>
      <c r="E12" s="2260"/>
      <c r="F12" s="2260"/>
      <c r="G12" s="2260"/>
      <c r="H12" s="2260"/>
      <c r="I12" s="2287"/>
      <c r="J12" s="2287"/>
      <c r="K12" s="2257"/>
      <c r="L12" s="1365"/>
      <c r="P12" s="2258"/>
      <c r="Q12" s="2258"/>
      <c r="R12" s="2348"/>
      <c r="S12" s="2344"/>
      <c r="T12" s="2363"/>
      <c r="U12" s="301"/>
      <c r="V12" s="1394"/>
      <c r="W12" s="1395" t="str">
        <f>Z8&amp;"-"&amp;AB8</f>
        <v>-</v>
      </c>
      <c r="X12" s="1394"/>
      <c r="Y12" s="1395" t="str">
        <f>AB8&amp;"-"&amp;AD8</f>
        <v>-да</v>
      </c>
      <c r="Z12" s="1394"/>
      <c r="AA12" s="1394"/>
      <c r="AB12" s="1394"/>
      <c r="AC12" s="1394"/>
      <c r="AD12" s="2113"/>
      <c r="AE12" s="313"/>
      <c r="AF12" s="315"/>
      <c r="AG12" s="417" t="s">
        <v>524</v>
      </c>
      <c r="AH12" s="1394"/>
      <c r="AI12" s="1394"/>
      <c r="AJ12" s="1394"/>
      <c r="AK12" s="1394"/>
      <c r="AL12" s="1394"/>
      <c r="AM12" s="1394"/>
      <c r="AN12" s="1394"/>
      <c r="AO12" s="1394"/>
      <c r="AP12" s="1394"/>
      <c r="AQ12" s="1394"/>
      <c r="AR12" s="1394"/>
      <c r="AS12" s="1394"/>
      <c r="AT12" s="1394"/>
      <c r="AU12" s="1395" t="str">
        <f>AX8&amp;"-"&amp;AZ8</f>
        <v>-</v>
      </c>
      <c r="AV12" s="1394"/>
      <c r="AW12" s="1395" t="str">
        <f>AZ8&amp;"-"&amp;BB8</f>
        <v>-</v>
      </c>
      <c r="AX12" s="1394"/>
      <c r="AY12" s="1394"/>
      <c r="AZ12" s="1394"/>
      <c r="BA12" s="1394"/>
      <c r="BB12" s="1397" t="str">
        <f>BE8&amp;"-"&amp;BG8</f>
        <v>-</v>
      </c>
      <c r="BC12" s="2255"/>
      <c r="BE12" s="501"/>
      <c r="BF12" s="501" t="str">
        <f>IF(T12="","",T12)</f>
        <v/>
      </c>
      <c r="BG12" s="501"/>
      <c r="BH12" s="501"/>
      <c r="BI12" s="1156">
        <v>0</v>
      </c>
    </row>
    <row customHeight="1" ht="11.25" hidden="1">
      <c r="A13" s="1364"/>
      <c r="B13" s="1364"/>
      <c r="C13" s="1364"/>
      <c r="D13" s="1364"/>
      <c r="E13" s="2260"/>
      <c r="F13" s="2260"/>
      <c r="G13" s="2260"/>
      <c r="H13" s="2260"/>
      <c r="I13" s="2287"/>
      <c r="J13" s="2257"/>
      <c r="K13" s="1364"/>
      <c r="L13" s="1365"/>
      <c r="P13" s="2258"/>
      <c r="Q13" s="2258"/>
      <c r="R13" s="357"/>
      <c r="S13" s="1279"/>
      <c r="T13" s="288" t="s">
        <v>487</v>
      </c>
      <c r="U13" s="368"/>
      <c r="V13" s="368"/>
      <c r="W13" s="368"/>
      <c r="X13" s="368"/>
      <c r="Y13" s="368"/>
      <c r="Z13" s="368"/>
      <c r="AA13" s="368"/>
      <c r="AB13" s="368"/>
      <c r="AC13" s="368"/>
      <c r="AD13" s="1506"/>
      <c r="AE13" s="368"/>
      <c r="AF13" s="368"/>
      <c r="AG13" s="368"/>
      <c r="AH13" s="368"/>
      <c r="AI13" s="368"/>
      <c r="AJ13" s="368"/>
      <c r="AK13" s="368"/>
      <c r="AL13" s="368"/>
      <c r="AM13" s="368"/>
      <c r="AN13" s="368"/>
      <c r="AO13" s="368"/>
      <c r="AP13" s="368"/>
      <c r="AQ13" s="368"/>
      <c r="AR13" s="368"/>
      <c r="AS13" s="368"/>
      <c r="AT13" s="368"/>
      <c r="AU13" s="368"/>
      <c r="AV13" s="368"/>
      <c r="AW13" s="368"/>
      <c r="AX13" s="368"/>
      <c r="AY13" s="368"/>
      <c r="AZ13" s="368"/>
      <c r="BA13" s="368"/>
      <c r="BB13" s="325"/>
      <c r="BC13" s="2256"/>
      <c r="BE13" s="501"/>
      <c r="BF13" s="501" t="str">
        <f>IF(T13="","",T13)</f>
        <v>Добавить строку</v>
      </c>
      <c r="BG13" s="501"/>
      <c r="BH13" s="501"/>
      <c r="BI13" s="1156">
        <v>0</v>
      </c>
    </row>
    <row s="1643" customFormat="1" customHeight="1" ht="14.25" hidden="1">
      <c r="A14" s="1344"/>
      <c r="B14" s="1344"/>
      <c r="C14" s="1344"/>
      <c r="D14" s="1344"/>
      <c r="E14" s="2260"/>
      <c r="F14" s="2260"/>
      <c r="G14" s="2260"/>
      <c r="H14" s="2260"/>
      <c r="I14" s="2257"/>
      <c r="J14" s="1344"/>
      <c r="K14" s="1344"/>
      <c r="L14" s="1347"/>
      <c r="M14" s="511"/>
      <c r="N14" s="511"/>
      <c r="O14" s="511"/>
      <c r="P14" s="2258"/>
      <c r="Q14" s="1463"/>
      <c r="R14" s="357"/>
      <c r="S14" s="1387"/>
      <c r="T14" s="1388"/>
      <c r="U14" s="1389"/>
      <c r="V14" s="1389"/>
      <c r="W14" s="1389"/>
      <c r="X14" s="1389"/>
      <c r="Y14" s="1389"/>
      <c r="Z14" s="1389"/>
      <c r="AA14" s="1389"/>
      <c r="AB14" s="1389"/>
      <c r="AC14" s="1389"/>
      <c r="AD14" s="1389"/>
      <c r="AE14" s="1389"/>
      <c r="AF14" s="1389"/>
      <c r="AG14" s="1389"/>
      <c r="AH14" s="1389"/>
      <c r="AI14" s="1389"/>
      <c r="AJ14" s="1389"/>
      <c r="AK14" s="1389"/>
      <c r="AL14" s="1389"/>
      <c r="AM14" s="1389"/>
      <c r="AN14" s="1389"/>
      <c r="AO14" s="1389"/>
      <c r="AP14" s="1389"/>
      <c r="AQ14" s="1389"/>
      <c r="AR14" s="1389"/>
      <c r="AS14" s="1389"/>
      <c r="AT14" s="1389"/>
      <c r="AU14" s="1389"/>
      <c r="AV14" s="1389"/>
      <c r="AW14" s="1389"/>
      <c r="AX14" s="1389"/>
      <c r="AY14" s="1389"/>
      <c r="AZ14" s="1389"/>
      <c r="BA14" s="1389"/>
      <c r="BB14" s="1389"/>
      <c r="BC14" s="1390"/>
      <c r="BE14" s="501"/>
      <c r="BF14" s="501" t="str">
        <f>IF(T14="","",T14)</f>
        <v/>
      </c>
      <c r="BG14" s="501"/>
      <c r="BH14" s="501"/>
      <c r="BI14" s="512">
        <v>0</v>
      </c>
    </row>
    <row s="1643" customFormat="1" customHeight="1" ht="14.25" hidden="1">
      <c r="A15" s="1344"/>
      <c r="B15" s="1344"/>
      <c r="C15" s="1344"/>
      <c r="D15" s="1344"/>
      <c r="E15" s="2260"/>
      <c r="F15" s="2260"/>
      <c r="G15" s="2260"/>
      <c r="H15" s="2259"/>
      <c r="I15" s="1344"/>
      <c r="J15" s="1344"/>
      <c r="K15" s="1344"/>
      <c r="L15" s="1347"/>
      <c r="M15" s="1316"/>
      <c r="N15" s="1316"/>
      <c r="O15" s="519"/>
      <c r="P15" s="381"/>
      <c r="Q15" s="1345"/>
      <c r="R15" s="1402"/>
      <c r="S15" s="1387"/>
      <c r="T15" s="1388"/>
      <c r="U15" s="1389"/>
      <c r="V15" s="1389"/>
      <c r="W15" s="1389"/>
      <c r="X15" s="1389"/>
      <c r="Y15" s="1389"/>
      <c r="Z15" s="1389"/>
      <c r="AA15" s="1389"/>
      <c r="AB15" s="1389"/>
      <c r="AC15" s="1389"/>
      <c r="AD15" s="1389"/>
      <c r="AE15" s="1389"/>
      <c r="AF15" s="1389"/>
      <c r="AG15" s="1389"/>
      <c r="AH15" s="1389"/>
      <c r="AI15" s="1389"/>
      <c r="AJ15" s="1389"/>
      <c r="AK15" s="1389"/>
      <c r="AL15" s="1389"/>
      <c r="AM15" s="1389"/>
      <c r="AN15" s="1389"/>
      <c r="AO15" s="1389"/>
      <c r="AP15" s="1389"/>
      <c r="AQ15" s="1389"/>
      <c r="AR15" s="1389"/>
      <c r="AS15" s="1389"/>
      <c r="AT15" s="1389"/>
      <c r="AU15" s="1389"/>
      <c r="AV15" s="1389"/>
      <c r="AW15" s="1389"/>
      <c r="AX15" s="1389"/>
      <c r="AY15" s="1389"/>
      <c r="AZ15" s="1389"/>
      <c r="BA15" s="1389"/>
      <c r="BB15" s="1389"/>
      <c r="BC15" s="1390"/>
      <c r="BE15" s="501"/>
      <c r="BF15" s="501" t="str">
        <f>IF(T15="","",T15)</f>
        <v/>
      </c>
      <c r="BG15" s="501"/>
      <c r="BH15" s="501"/>
      <c r="BI15" s="512">
        <v>0</v>
      </c>
    </row>
    <row s="1643" customFormat="1" customHeight="1" ht="14.25" hidden="1">
      <c r="A16" s="1344"/>
      <c r="B16" s="1344"/>
      <c r="C16" s="1344"/>
      <c r="D16" s="1315"/>
      <c r="E16" s="2260"/>
      <c r="F16" s="2260"/>
      <c r="G16" s="2259"/>
      <c r="H16" s="1315"/>
      <c r="I16" s="1315"/>
      <c r="J16" s="1315"/>
      <c r="K16" s="1315"/>
      <c r="L16" s="1465"/>
      <c r="M16" s="1316"/>
      <c r="N16" s="1316"/>
      <c r="P16" s="1317"/>
      <c r="Q16" s="1318"/>
      <c r="R16" s="1317"/>
      <c r="S16" s="1323"/>
      <c r="T16" s="1326"/>
      <c r="U16" s="1325"/>
      <c r="V16" s="1325"/>
      <c r="W16" s="1325"/>
      <c r="X16" s="1325"/>
      <c r="Y16" s="1325"/>
      <c r="Z16" s="1325"/>
      <c r="AA16" s="1325"/>
      <c r="AB16" s="1325"/>
      <c r="AC16" s="1325"/>
      <c r="AD16" s="1325"/>
      <c r="AE16" s="1325"/>
      <c r="AF16" s="1325"/>
      <c r="AG16" s="1325"/>
      <c r="AH16" s="1325"/>
      <c r="AI16" s="1325"/>
      <c r="AJ16" s="1325"/>
      <c r="AK16" s="1325"/>
      <c r="AL16" s="1325"/>
      <c r="AM16" s="1325"/>
      <c r="AN16" s="1325"/>
      <c r="AO16" s="1325"/>
      <c r="AP16" s="1325"/>
      <c r="AQ16" s="1325"/>
      <c r="AR16" s="1325"/>
      <c r="AS16" s="1325"/>
      <c r="AT16" s="1325"/>
      <c r="AU16" s="1325"/>
      <c r="AV16" s="1325"/>
      <c r="AW16" s="1325"/>
      <c r="AX16" s="1325"/>
      <c r="AY16" s="1325"/>
      <c r="AZ16" s="1325"/>
      <c r="BA16" s="1325"/>
      <c r="BB16" s="1325"/>
      <c r="BC16" s="1325"/>
      <c r="BE16" s="790"/>
      <c r="BF16" s="790" t="str">
        <f>IF(T16="","",T16)</f>
        <v/>
      </c>
      <c r="BG16" s="790"/>
      <c r="BH16" s="790"/>
      <c r="BI16" s="519">
        <v>0</v>
      </c>
    </row>
    <row s="1643" customFormat="1" customHeight="1" ht="14.25" hidden="1">
      <c r="A17" s="1344"/>
      <c r="B17" s="1344"/>
      <c r="C17" s="1315"/>
      <c r="D17" s="1315"/>
      <c r="E17" s="2260"/>
      <c r="F17" s="2259"/>
      <c r="G17" s="1315"/>
      <c r="H17" s="1315"/>
      <c r="I17" s="1315"/>
      <c r="J17" s="1315"/>
      <c r="K17" s="1315"/>
      <c r="L17" s="1465"/>
      <c r="M17" s="1322"/>
      <c r="N17" s="1322"/>
      <c r="P17" s="1317"/>
      <c r="Q17" s="1318"/>
      <c r="R17" s="1317"/>
      <c r="S17" s="1323"/>
      <c r="T17" s="1326" t="s">
        <v>177</v>
      </c>
      <c r="U17" s="1325"/>
      <c r="V17" s="1325"/>
      <c r="W17" s="1325"/>
      <c r="X17" s="1325"/>
      <c r="Y17" s="1325"/>
      <c r="Z17" s="1325"/>
      <c r="AA17" s="1325"/>
      <c r="AB17" s="1325"/>
      <c r="AC17" s="1325"/>
      <c r="AD17" s="1325"/>
      <c r="AE17" s="1325"/>
      <c r="AF17" s="1325"/>
      <c r="AG17" s="1325"/>
      <c r="AH17" s="1325"/>
      <c r="AI17" s="1325"/>
      <c r="AJ17" s="1325"/>
      <c r="AK17" s="1325"/>
      <c r="AL17" s="1325"/>
      <c r="AM17" s="1325"/>
      <c r="AN17" s="1325"/>
      <c r="AO17" s="1325"/>
      <c r="AP17" s="1325"/>
      <c r="AQ17" s="1325"/>
      <c r="AR17" s="1325"/>
      <c r="AS17" s="1325"/>
      <c r="AT17" s="1325"/>
      <c r="AU17" s="1325"/>
      <c r="AV17" s="1325"/>
      <c r="AW17" s="1325"/>
      <c r="AX17" s="1325"/>
      <c r="AY17" s="1325"/>
      <c r="AZ17" s="1325"/>
      <c r="BA17" s="1325"/>
      <c r="BB17" s="1325"/>
      <c r="BC17" s="1325"/>
      <c r="BE17" s="790"/>
      <c r="BF17" s="790" t="str">
        <f>IF(T17="","",T17)</f>
        <v>Добавить централизованную систему для дифференциации</v>
      </c>
      <c r="BG17" s="790"/>
      <c r="BH17" s="790"/>
      <c r="BI17" s="519">
        <v>0</v>
      </c>
    </row>
    <row s="1643" customFormat="1" customHeight="1" ht="14.25" hidden="1">
      <c r="A18" s="1344"/>
      <c r="B18" s="1344"/>
      <c r="C18" s="1344"/>
      <c r="D18" s="1344"/>
      <c r="E18" s="2259"/>
      <c r="F18" s="1344"/>
      <c r="G18" s="1344"/>
      <c r="H18" s="1344"/>
      <c r="I18" s="1344"/>
      <c r="J18" s="1344"/>
      <c r="K18" s="1344"/>
      <c r="L18" s="1347"/>
      <c r="M18" s="1322"/>
      <c r="N18" s="1322"/>
      <c r="O18" s="519"/>
      <c r="P18" s="381"/>
      <c r="Q18" s="1345"/>
      <c r="R18" s="381"/>
      <c r="S18" s="1323"/>
      <c r="T18" s="1326" t="s">
        <v>178</v>
      </c>
      <c r="U18" s="1325"/>
      <c r="V18" s="1325"/>
      <c r="W18" s="1325"/>
      <c r="X18" s="1325"/>
      <c r="Y18" s="1325"/>
      <c r="Z18" s="1325"/>
      <c r="AA18" s="1325"/>
      <c r="AB18" s="1325"/>
      <c r="AC18" s="1325"/>
      <c r="AD18" s="1325"/>
      <c r="AE18" s="1325"/>
      <c r="AF18" s="1325"/>
      <c r="AG18" s="1325"/>
      <c r="AH18" s="1325"/>
      <c r="AI18" s="1325"/>
      <c r="AJ18" s="1325"/>
      <c r="AK18" s="1325"/>
      <c r="AL18" s="1325"/>
      <c r="AM18" s="1325"/>
      <c r="AN18" s="1325"/>
      <c r="AO18" s="1325"/>
      <c r="AP18" s="1325"/>
      <c r="AQ18" s="1325"/>
      <c r="AR18" s="1325"/>
      <c r="AS18" s="1325"/>
      <c r="AT18" s="1325"/>
      <c r="AU18" s="1325"/>
      <c r="AV18" s="1325"/>
      <c r="AW18" s="1325"/>
      <c r="AX18" s="1325"/>
      <c r="AY18" s="1325"/>
      <c r="AZ18" s="1325"/>
      <c r="BA18" s="1325"/>
      <c r="BB18" s="1325"/>
      <c r="BC18" s="1325"/>
      <c r="BE18" s="501"/>
      <c r="BF18" s="501" t="str">
        <f>IF(T18="","",T18)</f>
        <v>Добавить территорию для дифференциации</v>
      </c>
      <c r="BG18" s="501"/>
      <c r="BH18" s="501"/>
      <c r="BI18" s="512">
        <v>0</v>
      </c>
    </row>
    <row customHeight="1" ht="14.25" hidden="1">
      <c r="AC19" s="328"/>
      <c r="BA19" s="328"/>
      <c r="BI19" s="1156">
        <v>0</v>
      </c>
    </row>
    <row customHeight="1" ht="14.25" hidden="1">
      <c r="AD20" s="1325" t="s">
        <v>19</v>
      </c>
      <c r="AE20" s="1502"/>
      <c r="AF20" s="549">
        <v>1</v>
      </c>
      <c r="AG20" s="1503"/>
      <c r="AH20" s="1325" t="s">
        <v>19</v>
      </c>
      <c r="AI20" s="1502"/>
      <c r="AJ20" s="549">
        <v>1</v>
      </c>
      <c r="AK20" s="1503"/>
      <c r="AL20" s="1325" t="s">
        <v>19</v>
      </c>
      <c r="AM20" s="1504"/>
      <c r="AN20" s="549">
        <v>1</v>
      </c>
      <c r="AO20" s="1505"/>
      <c r="AP20" s="1325" t="s">
        <v>19</v>
      </c>
      <c r="AQ20" s="1504"/>
      <c r="AR20" s="549">
        <v>1</v>
      </c>
      <c r="AS20" s="1505"/>
      <c r="AT20" s="326"/>
      <c r="AU20" s="385"/>
      <c r="AV20" s="326"/>
      <c r="AW20" s="385"/>
      <c r="AX20" s="1737"/>
      <c r="AY20" s="1461" t="s">
        <v>61</v>
      </c>
      <c r="AZ20" s="1737"/>
      <c r="BA20" s="1461" t="s">
        <v>61</v>
      </c>
      <c r="BI20" s="1156">
        <v>0</v>
      </c>
    </row>
    <row customHeight="1" ht="14.25" hidden="1">
      <c r="BD21" s="497"/>
      <c r="BE21" s="497"/>
      <c r="BF21" s="497"/>
      <c r="BG21" s="497"/>
      <c r="BH21" s="497"/>
      <c r="BI21" s="1156">
        <v>0</v>
      </c>
    </row>
    <row customHeight="1" ht="14.25" hidden="1">
      <c r="O22" s="1368" t="s">
        <v>431</v>
      </c>
      <c r="Z22" s="1346"/>
      <c r="AB22" s="1346"/>
      <c r="AC22" s="328"/>
      <c r="AX22" s="1346"/>
      <c r="AZ22" s="1346"/>
      <c r="BA22" s="328"/>
      <c r="BD22" s="497"/>
      <c r="BE22" s="497"/>
      <c r="BF22" s="497"/>
      <c r="BG22" s="497"/>
      <c r="BH22" s="497"/>
      <c r="BI22" s="1156">
        <v>0</v>
      </c>
    </row>
    <row customHeight="1" ht="14.25" hidden="1">
      <c r="AC23" s="328"/>
      <c r="BA23" s="328"/>
      <c r="BD23" s="497"/>
      <c r="BE23" s="497"/>
      <c r="BF23" s="497"/>
      <c r="BG23" s="497"/>
      <c r="BH23" s="497"/>
      <c r="BI23" s="1156">
        <v>0</v>
      </c>
    </row>
    <row s="1510" customFormat="1" customHeight="1" ht="14.25" hidden="1">
      <c r="M24" s="1509"/>
      <c r="N24" s="1509"/>
      <c r="O24" s="1510" t="s">
        <v>432</v>
      </c>
      <c r="P24" s="1509"/>
      <c r="Q24" s="1511"/>
      <c r="R24" s="1511"/>
      <c r="AA24" s="1508" t="s">
        <v>434</v>
      </c>
      <c r="AC24" s="1508" t="s">
        <v>435</v>
      </c>
      <c r="AD24" s="1508" t="s">
        <v>488</v>
      </c>
      <c r="AH24" s="1508" t="s">
        <v>488</v>
      </c>
      <c r="AK24" s="1508" t="s">
        <v>525</v>
      </c>
      <c r="AL24" s="1508" t="s">
        <v>488</v>
      </c>
      <c r="AP24" s="1508" t="s">
        <v>488</v>
      </c>
      <c r="AY24" s="1508" t="s">
        <v>434</v>
      </c>
      <c r="BA24" s="1508" t="s">
        <v>435</v>
      </c>
      <c r="BD24" s="1512"/>
      <c r="BE24" s="1512"/>
      <c r="BF24" s="1512"/>
      <c r="BG24" s="1512"/>
      <c r="BH24" s="1512"/>
      <c r="BI24" s="1508">
        <v>0</v>
      </c>
    </row>
    <row customHeight="1" ht="14.25" hidden="1">
      <c r="O25" s="1365"/>
      <c r="BD25" s="497"/>
      <c r="BE25" s="497"/>
      <c r="BF25" s="497"/>
      <c r="BG25" s="497"/>
      <c r="BH25" s="497"/>
      <c r="BI25" s="1156">
        <v>0</v>
      </c>
    </row>
    <row customHeight="1" ht="14.25" hidden="1">
      <c r="O26" s="1365"/>
      <c r="BD26" s="497"/>
      <c r="BE26" s="497"/>
      <c r="BF26" s="497"/>
      <c r="BG26" s="497"/>
      <c r="BH26" s="497"/>
      <c r="BI26" s="1156">
        <v>0</v>
      </c>
    </row>
    <row customHeight="1" ht="14.699999999999998">
      <c r="Q27" s="292"/>
      <c r="R27" s="377"/>
      <c r="S27" s="1276"/>
      <c r="T27" s="364"/>
      <c r="U27" s="364"/>
      <c r="V27" s="510"/>
      <c r="W27" s="510"/>
      <c r="X27" s="510"/>
      <c r="Y27" s="510"/>
      <c r="Z27" s="510"/>
      <c r="AA27" s="510"/>
      <c r="AB27" s="510"/>
      <c r="AC27" s="510"/>
      <c r="AD27" s="510"/>
      <c r="AE27" s="510"/>
      <c r="AF27" s="510"/>
      <c r="AG27" s="510"/>
      <c r="AH27" s="510"/>
      <c r="AI27" s="510"/>
      <c r="AJ27" s="510"/>
      <c r="AK27" s="510"/>
      <c r="AL27" s="510"/>
      <c r="AM27" s="510"/>
      <c r="AN27" s="510"/>
      <c r="AO27" s="510"/>
      <c r="AP27" s="510"/>
      <c r="AQ27" s="510"/>
      <c r="AR27" s="510"/>
      <c r="AS27" s="510"/>
      <c r="AT27" s="510"/>
      <c r="AU27" s="510"/>
      <c r="AV27" s="510"/>
      <c r="AW27" s="510"/>
      <c r="AX27" s="510"/>
      <c r="AY27" s="510"/>
      <c r="AZ27" s="510"/>
      <c r="BA27" s="510"/>
      <c r="BI27" s="1156">
        <v>14</v>
      </c>
    </row>
    <row customHeight="1" ht="14.699999999999998">
      <c r="Q28" s="292"/>
      <c r="R28" s="377"/>
      <c r="S28" s="2249" t="str">
        <f>IF(TEMPLATE_GROUP="P",PT_P_FORM_COLDVSNA_5_NAME_FORM,PT_R_FORM_COLDVSNA_17_NAME_FORM)</f>
        <v>Форма 14. Информация о предложении организации холодного водоснабжения расчетной величины тарифов на подключение (технологическое присоединение) к централизованной системе холодного водоснабжения</v>
      </c>
      <c r="T28" s="2249"/>
      <c r="U28" s="2249"/>
      <c r="V28" s="2249"/>
      <c r="W28" s="2249"/>
      <c r="X28" s="2249"/>
      <c r="Y28" s="2249"/>
      <c r="Z28" s="2249"/>
      <c r="AA28" s="2249"/>
      <c r="AB28" s="2249"/>
      <c r="AC28" s="2249"/>
      <c r="AD28" s="2249"/>
      <c r="AE28" s="2249"/>
      <c r="AF28" s="2249"/>
      <c r="AG28" s="2249"/>
      <c r="AH28" s="2249"/>
      <c r="AI28" s="2249"/>
      <c r="AJ28" s="2249"/>
      <c r="AK28" s="2249"/>
      <c r="AL28" s="2249"/>
      <c r="AM28" s="2249"/>
      <c r="AN28" s="2249"/>
      <c r="AO28" s="2249"/>
      <c r="AP28" s="2249"/>
      <c r="AQ28" s="2249"/>
      <c r="AR28" s="2249"/>
      <c r="AS28" s="2249"/>
      <c r="AT28" s="2249"/>
      <c r="AU28" s="2249"/>
      <c r="AV28" s="2249"/>
      <c r="AW28" s="2249"/>
      <c r="AX28" s="2249"/>
      <c r="AY28" s="2249"/>
      <c r="AZ28" s="2249"/>
      <c r="BA28" s="1244"/>
      <c r="BI28" s="1156">
        <v>14</v>
      </c>
    </row>
    <row customHeight="1" ht="14.699999999999998">
      <c r="Q29" s="292"/>
      <c r="R29" s="377"/>
      <c r="S29" s="2250" t="str">
        <f>IF(org=0,"Не определено",org)</f>
        <v>ПАО "КГК"</v>
      </c>
      <c r="T29" s="2250"/>
      <c r="U29" s="2250"/>
      <c r="V29" s="2250"/>
      <c r="W29" s="2250"/>
      <c r="X29" s="2250"/>
      <c r="Y29" s="2250"/>
      <c r="Z29" s="2250"/>
      <c r="AA29" s="2250"/>
      <c r="AB29" s="2250"/>
      <c r="AC29" s="2250"/>
      <c r="AD29" s="2250"/>
      <c r="AE29" s="2250"/>
      <c r="AF29" s="2250"/>
      <c r="AG29" s="2250"/>
      <c r="AH29" s="2250"/>
      <c r="AI29" s="2250"/>
      <c r="AJ29" s="2250"/>
      <c r="AK29" s="2250"/>
      <c r="AL29" s="2250"/>
      <c r="AM29" s="2250"/>
      <c r="AN29" s="2250"/>
      <c r="AO29" s="2250"/>
      <c r="AP29" s="2250"/>
      <c r="AQ29" s="2250"/>
      <c r="AR29" s="2250"/>
      <c r="AS29" s="2250"/>
      <c r="AT29" s="2250"/>
      <c r="AU29" s="2250"/>
      <c r="AV29" s="2250"/>
      <c r="AW29" s="2250"/>
      <c r="AX29" s="2250"/>
      <c r="AY29" s="2250"/>
      <c r="AZ29" s="2250"/>
      <c r="BA29" s="1244"/>
      <c r="BI29" s="1156">
        <v>14</v>
      </c>
    </row>
    <row customHeight="1" ht="14.25" hidden="1">
      <c r="Q30" s="292"/>
      <c r="R30" s="377"/>
      <c r="S30" s="1276"/>
      <c r="T30" s="364"/>
      <c r="U30" s="364"/>
      <c r="V30" s="323"/>
      <c r="W30" s="323"/>
      <c r="X30" s="323"/>
      <c r="Y30" s="323"/>
      <c r="Z30" s="323"/>
      <c r="AA30" s="323"/>
      <c r="AB30" s="323"/>
      <c r="AC30" s="323"/>
      <c r="AD30" s="323"/>
      <c r="AE30" s="323"/>
      <c r="AF30" s="323"/>
      <c r="AG30" s="323"/>
      <c r="AH30" s="323"/>
      <c r="AI30" s="323"/>
      <c r="AJ30" s="323"/>
      <c r="AK30" s="323"/>
      <c r="AL30" s="323"/>
      <c r="AM30" s="323"/>
      <c r="AN30" s="323"/>
      <c r="AO30" s="323"/>
      <c r="AP30" s="323"/>
      <c r="AQ30" s="323"/>
      <c r="AR30" s="323"/>
      <c r="AS30" s="323"/>
      <c r="AT30" s="323"/>
      <c r="AU30" s="323"/>
      <c r="AV30" s="323"/>
      <c r="AW30" s="323"/>
      <c r="AX30" s="323"/>
      <c r="AY30" s="323"/>
      <c r="AZ30" s="323"/>
      <c r="BA30" s="323"/>
      <c r="BB30" s="510"/>
      <c r="BI30" s="1156">
        <v>0</v>
      </c>
    </row>
    <row s="1854" customFormat="1" customHeight="1" ht="25.5" hidden="1">
      <c r="A31" s="1369"/>
      <c r="B31" s="1369"/>
      <c r="C31" s="1369"/>
      <c r="D31" s="1369"/>
      <c r="E31" s="1369"/>
      <c r="F31" s="1369"/>
      <c r="G31" s="1369"/>
      <c r="H31" s="1369"/>
      <c r="I31" s="1369"/>
      <c r="J31" s="1369"/>
      <c r="K31" s="1369"/>
      <c r="L31" s="1370"/>
      <c r="M31" s="1369"/>
      <c r="N31" s="1369"/>
      <c r="O31" s="1369"/>
      <c r="P31" s="1369"/>
      <c r="Q31" s="1369"/>
      <c r="S31" s="2251" t="s">
        <v>42</v>
      </c>
      <c r="T31" s="2251"/>
      <c r="U31" s="1373"/>
      <c r="V31" s="2252" t="str">
        <f>IF(TITLE_NAME_OR_PR_CHANGE="",IF(TITLE_NAME_OR_PR="","",TITLE_NAME_OR_PR),TITLE_NAME_OR_PR_CHANGE)</f>
        <v/>
      </c>
      <c r="W31" s="2252"/>
      <c r="X31" s="2252"/>
      <c r="Y31" s="2252"/>
      <c r="Z31" s="2252"/>
      <c r="AA31" s="2252"/>
      <c r="AB31" s="2252"/>
      <c r="AC31" s="327"/>
      <c r="AD31" s="2252" t="str">
        <f>IF(TITLE_NAME_OR_PR_CHANGE="",IF(TITLE_NAME_OR_PR="","",TITLE_NAME_OR_PR),TITLE_NAME_OR_PR_CHANGE)</f>
        <v/>
      </c>
      <c r="AE31" s="2252"/>
      <c r="AF31" s="2252"/>
      <c r="AG31" s="2252"/>
      <c r="AH31" s="2252"/>
      <c r="AI31" s="2252"/>
      <c r="AJ31" s="2252"/>
      <c r="AK31" s="2252"/>
      <c r="AL31" s="2252"/>
      <c r="AM31" s="2252"/>
      <c r="AN31" s="2252"/>
      <c r="AO31" s="2252"/>
      <c r="AP31" s="2252"/>
      <c r="AQ31" s="2252"/>
      <c r="AR31" s="2252"/>
      <c r="AS31" s="2252"/>
      <c r="AT31" s="2252"/>
      <c r="AU31" s="2252"/>
      <c r="AV31" s="2252"/>
      <c r="AW31" s="2252"/>
      <c r="AX31" s="2252"/>
      <c r="AY31" s="2252"/>
      <c r="AZ31" s="2252"/>
      <c r="BA31" s="327"/>
      <c r="BB31" s="327"/>
      <c r="BC31" s="281"/>
      <c r="BD31" s="369"/>
      <c r="BE31" s="369"/>
      <c r="BF31" s="369"/>
      <c r="BG31" s="369"/>
      <c r="BH31" s="369"/>
      <c r="BI31" s="419">
        <v>0</v>
      </c>
    </row>
    <row s="1854" customFormat="1" customHeight="1" ht="18.75" hidden="1">
      <c r="A32" s="1369"/>
      <c r="B32" s="1369"/>
      <c r="C32" s="1369"/>
      <c r="D32" s="1369"/>
      <c r="E32" s="1369"/>
      <c r="F32" s="1369"/>
      <c r="G32" s="1369"/>
      <c r="H32" s="1369"/>
      <c r="I32" s="1369"/>
      <c r="J32" s="1369"/>
      <c r="K32" s="1369"/>
      <c r="L32" s="1370"/>
      <c r="M32" s="1369"/>
      <c r="N32" s="1369"/>
      <c r="O32" s="1369"/>
      <c r="P32" s="1369"/>
      <c r="Q32" s="1369"/>
      <c r="S32" s="2251" t="s">
        <v>437</v>
      </c>
      <c r="T32" s="2251"/>
      <c r="U32" s="1373"/>
      <c r="V32" s="2265" t="str">
        <f>IF(TITLE_DATE_PR_CHANGE="",IF(TITLE_DATE_PR="","",TITLE_DATE_PR),TITLE_DATE_PR_CHANGE)</f>
        <v>46142</v>
      </c>
      <c r="W32" s="2265"/>
      <c r="X32" s="2265"/>
      <c r="Y32" s="2265"/>
      <c r="Z32" s="2265"/>
      <c r="AA32" s="2265"/>
      <c r="AB32" s="2265"/>
      <c r="AC32" s="327"/>
      <c r="AD32" s="2265" t="str">
        <f>IF(TITLE_DATE_PR_CHANGE="",IF(TITLE_DATE_PR="","",TITLE_DATE_PR),TITLE_DATE_PR_CHANGE)</f>
        <v>46142</v>
      </c>
      <c r="AE32" s="2265"/>
      <c r="AF32" s="2265"/>
      <c r="AG32" s="2265"/>
      <c r="AH32" s="2265"/>
      <c r="AI32" s="2265"/>
      <c r="AJ32" s="2265"/>
      <c r="AK32" s="2265"/>
      <c r="AL32" s="2265"/>
      <c r="AM32" s="2265"/>
      <c r="AN32" s="2265"/>
      <c r="AO32" s="2265"/>
      <c r="AP32" s="2265"/>
      <c r="AQ32" s="2265"/>
      <c r="AR32" s="2265"/>
      <c r="AS32" s="2265"/>
      <c r="AT32" s="2265"/>
      <c r="AU32" s="2265"/>
      <c r="AV32" s="2265"/>
      <c r="AW32" s="2265"/>
      <c r="AX32" s="2265"/>
      <c r="AY32" s="2265"/>
      <c r="AZ32" s="2265"/>
      <c r="BA32" s="327"/>
      <c r="BB32" s="327"/>
      <c r="BC32" s="281"/>
      <c r="BD32" s="369"/>
      <c r="BE32" s="369"/>
      <c r="BF32" s="369"/>
      <c r="BG32" s="369"/>
      <c r="BH32" s="369"/>
      <c r="BI32" s="419">
        <v>0</v>
      </c>
    </row>
    <row s="1854" customFormat="1" customHeight="1" ht="18.75" hidden="1">
      <c r="A33" s="1369"/>
      <c r="B33" s="1369"/>
      <c r="C33" s="1369"/>
      <c r="D33" s="1369"/>
      <c r="E33" s="1369"/>
      <c r="F33" s="1369"/>
      <c r="G33" s="1369"/>
      <c r="H33" s="1369"/>
      <c r="I33" s="1369"/>
      <c r="J33" s="1369"/>
      <c r="K33" s="1369"/>
      <c r="L33" s="1370"/>
      <c r="M33" s="1369"/>
      <c r="N33" s="1369"/>
      <c r="O33" s="1369"/>
      <c r="P33" s="1369"/>
      <c r="Q33" s="1369"/>
      <c r="S33" s="2251" t="s">
        <v>438</v>
      </c>
      <c r="T33" s="2251"/>
      <c r="U33" s="1373"/>
      <c r="V33" s="2252" t="str">
        <f>IF(TITLE_NUMBER_PR_CHANGE="",IF(TITLE_NUMBER_PR="","",TITLE_NUMBER_PR),TITLE_NUMBER_PR_CHANGE)</f>
        <v>206Т</v>
      </c>
      <c r="W33" s="2252"/>
      <c r="X33" s="2252"/>
      <c r="Y33" s="2252"/>
      <c r="Z33" s="2252"/>
      <c r="AA33" s="2252"/>
      <c r="AB33" s="2252"/>
      <c r="AC33" s="327"/>
      <c r="AD33" s="2252" t="str">
        <f>IF(TITLE_NUMBER_PR_CHANGE="",IF(TITLE_NUMBER_PR="","",TITLE_NUMBER_PR),TITLE_NUMBER_PR_CHANGE)</f>
        <v>206Т</v>
      </c>
      <c r="AE33" s="2252"/>
      <c r="AF33" s="2252"/>
      <c r="AG33" s="2252"/>
      <c r="AH33" s="2252"/>
      <c r="AI33" s="2252"/>
      <c r="AJ33" s="2252"/>
      <c r="AK33" s="2252"/>
      <c r="AL33" s="2252"/>
      <c r="AM33" s="2252"/>
      <c r="AN33" s="2252"/>
      <c r="AO33" s="2252"/>
      <c r="AP33" s="2252"/>
      <c r="AQ33" s="2252"/>
      <c r="AR33" s="2252"/>
      <c r="AS33" s="2252"/>
      <c r="AT33" s="2252"/>
      <c r="AU33" s="2252"/>
      <c r="AV33" s="2252"/>
      <c r="AW33" s="2252"/>
      <c r="AX33" s="2252"/>
      <c r="AY33" s="2252"/>
      <c r="AZ33" s="2252"/>
      <c r="BA33" s="327"/>
      <c r="BB33" s="327"/>
      <c r="BC33" s="281"/>
      <c r="BD33" s="369"/>
      <c r="BE33" s="369"/>
      <c r="BF33" s="369"/>
      <c r="BG33" s="369"/>
      <c r="BH33" s="369"/>
      <c r="BI33" s="419">
        <v>0</v>
      </c>
    </row>
    <row s="1854" customFormat="1" customHeight="1" ht="18.75" hidden="1">
      <c r="A34" s="1369"/>
      <c r="B34" s="1369"/>
      <c r="C34" s="1369"/>
      <c r="D34" s="1369"/>
      <c r="E34" s="1369"/>
      <c r="F34" s="1369"/>
      <c r="G34" s="1369"/>
      <c r="H34" s="1369"/>
      <c r="I34" s="1369"/>
      <c r="J34" s="1369"/>
      <c r="K34" s="1369"/>
      <c r="L34" s="1370"/>
      <c r="M34" s="1369"/>
      <c r="N34" s="1369"/>
      <c r="O34" s="1369"/>
      <c r="P34" s="1369"/>
      <c r="Q34" s="1369"/>
      <c r="S34" s="2251" t="s">
        <v>43</v>
      </c>
      <c r="T34" s="2251"/>
      <c r="U34" s="1373"/>
      <c r="V34" s="2252" t="str">
        <f>IF(TITLE_IST_PUB_CHANGE="",IF(TITLE_IST_PUB="","",TITLE_IST_PUB),TITLE_IST_PUB_CHANGE)</f>
        <v/>
      </c>
      <c r="W34" s="2252"/>
      <c r="X34" s="2252"/>
      <c r="Y34" s="2252"/>
      <c r="Z34" s="2252"/>
      <c r="AA34" s="2252"/>
      <c r="AB34" s="2252"/>
      <c r="AC34" s="327"/>
      <c r="AD34" s="2252" t="str">
        <f>IF(TITLE_IST_PUB_CHANGE="",IF(TITLE_IST_PUB="","",TITLE_IST_PUB),TITLE_IST_PUB_CHANGE)</f>
        <v/>
      </c>
      <c r="AE34" s="2252"/>
      <c r="AF34" s="2252"/>
      <c r="AG34" s="2252"/>
      <c r="AH34" s="2252"/>
      <c r="AI34" s="2252"/>
      <c r="AJ34" s="2252"/>
      <c r="AK34" s="2252"/>
      <c r="AL34" s="2252"/>
      <c r="AM34" s="2252"/>
      <c r="AN34" s="2252"/>
      <c r="AO34" s="2252"/>
      <c r="AP34" s="2252"/>
      <c r="AQ34" s="2252"/>
      <c r="AR34" s="2252"/>
      <c r="AS34" s="2252"/>
      <c r="AT34" s="2252"/>
      <c r="AU34" s="2252"/>
      <c r="AV34" s="2252"/>
      <c r="AW34" s="2252"/>
      <c r="AX34" s="2252"/>
      <c r="AY34" s="2252"/>
      <c r="AZ34" s="2252"/>
      <c r="BA34" s="327"/>
      <c r="BB34" s="327"/>
      <c r="BC34" s="281"/>
      <c r="BD34" s="369"/>
      <c r="BE34" s="369"/>
      <c r="BF34" s="369"/>
      <c r="BG34" s="369"/>
      <c r="BH34" s="369"/>
      <c r="BI34" s="419">
        <v>0</v>
      </c>
    </row>
    <row customHeight="1" ht="14.25">
      <c r="Q35" s="292"/>
      <c r="R35" s="377"/>
      <c r="S35" s="1276"/>
      <c r="T35" s="364"/>
      <c r="U35" s="364"/>
      <c r="V35" s="323"/>
      <c r="W35" s="323"/>
      <c r="X35" s="323"/>
      <c r="Y35" s="323"/>
      <c r="Z35" s="323"/>
      <c r="AA35" s="323"/>
      <c r="AB35" s="323"/>
      <c r="AC35" s="323"/>
      <c r="AD35" s="323"/>
      <c r="AE35" s="323"/>
      <c r="AF35" s="323"/>
      <c r="AG35" s="323"/>
      <c r="AH35" s="323"/>
      <c r="AI35" s="323"/>
      <c r="AJ35" s="323"/>
      <c r="AK35" s="323"/>
      <c r="AL35" s="323"/>
      <c r="AM35" s="323"/>
      <c r="AN35" s="323"/>
      <c r="AO35" s="323"/>
      <c r="AP35" s="323"/>
      <c r="AQ35" s="323"/>
      <c r="AR35" s="323"/>
      <c r="AS35" s="323"/>
      <c r="AT35" s="323"/>
      <c r="AU35" s="323"/>
      <c r="AV35" s="323"/>
      <c r="AW35" s="323"/>
      <c r="AX35" s="323"/>
      <c r="AY35" s="323"/>
      <c r="AZ35" s="323"/>
      <c r="BA35" s="323"/>
      <c r="BB35" s="510"/>
      <c r="BI35" s="1156">
        <v>0</v>
      </c>
    </row>
    <row s="1854" customFormat="1" customHeight="1" ht="18.75">
      <c r="A36" s="1369"/>
      <c r="B36" s="1369"/>
      <c r="C36" s="1369"/>
      <c r="D36" s="1369"/>
      <c r="E36" s="1369"/>
      <c r="F36" s="1369"/>
      <c r="G36" s="1369"/>
      <c r="H36" s="1369"/>
      <c r="I36" s="1369"/>
      <c r="J36" s="1369"/>
      <c r="K36" s="1369"/>
      <c r="L36" s="1370"/>
      <c r="M36" s="1369"/>
      <c r="N36" s="1369"/>
      <c r="O36" s="1369"/>
      <c r="P36" s="1369"/>
      <c r="Q36" s="1369"/>
      <c r="S36" s="2251" t="s">
        <v>437</v>
      </c>
      <c r="T36" s="2251"/>
      <c r="U36" s="1373"/>
      <c r="V36" s="2265" t="str">
        <f>IF(TITLE_DATE_PR_CHANGE="",IF(TITLE_DATE_PR="","",TITLE_DATE_PR),TITLE_DATE_PR_CHANGE)</f>
        <v>46142</v>
      </c>
      <c r="W36" s="2265"/>
      <c r="X36" s="2265"/>
      <c r="Y36" s="2265"/>
      <c r="Z36" s="2265"/>
      <c r="AA36" s="2265"/>
      <c r="AB36" s="2265"/>
      <c r="AC36" s="327"/>
      <c r="AD36" s="2265" t="str">
        <f>IF(TITLE_DATE_PR_CHANGE="",IF(TITLE_DATE_PR="","",TITLE_DATE_PR),TITLE_DATE_PR_CHANGE)</f>
        <v>46142</v>
      </c>
      <c r="AE36" s="2265"/>
      <c r="AF36" s="2265"/>
      <c r="AG36" s="2265"/>
      <c r="AH36" s="2265"/>
      <c r="AI36" s="2265"/>
      <c r="AJ36" s="2265"/>
      <c r="AK36" s="2265"/>
      <c r="AL36" s="2265"/>
      <c r="AM36" s="2265"/>
      <c r="AN36" s="2265"/>
      <c r="AO36" s="2265"/>
      <c r="AP36" s="2265"/>
      <c r="AQ36" s="2265"/>
      <c r="AR36" s="2265"/>
      <c r="AS36" s="2265"/>
      <c r="AT36" s="2265"/>
      <c r="AU36" s="2265"/>
      <c r="AV36" s="2265"/>
      <c r="AW36" s="2265"/>
      <c r="AX36" s="2265"/>
      <c r="AY36" s="2265"/>
      <c r="AZ36" s="2265"/>
      <c r="BA36" s="327"/>
      <c r="BB36" s="327"/>
      <c r="BC36" s="281"/>
      <c r="BD36" s="369"/>
      <c r="BE36" s="369"/>
      <c r="BF36" s="369"/>
      <c r="BG36" s="369"/>
      <c r="BH36" s="369"/>
      <c r="BI36" s="419">
        <v>0</v>
      </c>
    </row>
    <row s="1854" customFormat="1" customHeight="1" ht="18.75">
      <c r="A37" s="1369"/>
      <c r="B37" s="1369"/>
      <c r="C37" s="1369"/>
      <c r="D37" s="1369"/>
      <c r="E37" s="1369"/>
      <c r="F37" s="1369"/>
      <c r="G37" s="1369"/>
      <c r="H37" s="1369"/>
      <c r="I37" s="1369"/>
      <c r="J37" s="1369"/>
      <c r="K37" s="1369"/>
      <c r="L37" s="1370"/>
      <c r="M37" s="1369"/>
      <c r="N37" s="1369"/>
      <c r="O37" s="1369"/>
      <c r="P37" s="1369"/>
      <c r="Q37" s="1369"/>
      <c r="S37" s="2251" t="s">
        <v>438</v>
      </c>
      <c r="T37" s="2251"/>
      <c r="U37" s="1373"/>
      <c r="V37" s="2252" t="str">
        <f>IF(TITLE_NUMBER_PR_CHANGE="",IF(TITLE_NUMBER_PR="","",TITLE_NUMBER_PR),TITLE_NUMBER_PR_CHANGE)</f>
        <v>206Т</v>
      </c>
      <c r="W37" s="2252"/>
      <c r="X37" s="2252"/>
      <c r="Y37" s="2252"/>
      <c r="Z37" s="2252"/>
      <c r="AA37" s="2252"/>
      <c r="AB37" s="2252"/>
      <c r="AC37" s="327"/>
      <c r="AD37" s="2252" t="str">
        <f>IF(TITLE_NUMBER_PR_CHANGE="",IF(TITLE_NUMBER_PR="","",TITLE_NUMBER_PR),TITLE_NUMBER_PR_CHANGE)</f>
        <v>206Т</v>
      </c>
      <c r="AE37" s="2252"/>
      <c r="AF37" s="2252"/>
      <c r="AG37" s="2252"/>
      <c r="AH37" s="2252"/>
      <c r="AI37" s="2252"/>
      <c r="AJ37" s="2252"/>
      <c r="AK37" s="2252"/>
      <c r="AL37" s="2252"/>
      <c r="AM37" s="2252"/>
      <c r="AN37" s="2252"/>
      <c r="AO37" s="2252"/>
      <c r="AP37" s="2252"/>
      <c r="AQ37" s="2252"/>
      <c r="AR37" s="2252"/>
      <c r="AS37" s="2252"/>
      <c r="AT37" s="2252"/>
      <c r="AU37" s="2252"/>
      <c r="AV37" s="2252"/>
      <c r="AW37" s="2252"/>
      <c r="AX37" s="2252"/>
      <c r="AY37" s="2252"/>
      <c r="AZ37" s="2252"/>
      <c r="BA37" s="327"/>
      <c r="BB37" s="327"/>
      <c r="BC37" s="281"/>
      <c r="BD37" s="369"/>
      <c r="BE37" s="369"/>
      <c r="BF37" s="369"/>
      <c r="BG37" s="369"/>
      <c r="BH37" s="369"/>
      <c r="BI37" s="419">
        <v>0</v>
      </c>
    </row>
    <row s="1854" customFormat="1" customHeight="1" ht="0">
      <c r="A38" s="1369"/>
      <c r="B38" s="1369"/>
      <c r="C38" s="1369"/>
      <c r="D38" s="1369"/>
      <c r="E38" s="1369"/>
      <c r="F38" s="1369"/>
      <c r="G38" s="1369"/>
      <c r="H38" s="1369"/>
      <c r="I38" s="1369"/>
      <c r="J38" s="1369"/>
      <c r="K38" s="1369"/>
      <c r="L38" s="1370"/>
      <c r="M38" s="1369"/>
      <c r="N38" s="1369"/>
      <c r="O38" s="1369"/>
      <c r="P38" s="1369"/>
      <c r="Q38" s="1369"/>
      <c r="S38" s="324"/>
      <c r="T38" s="324"/>
      <c r="U38" s="1455"/>
      <c r="V38" s="327"/>
      <c r="W38" s="327"/>
      <c r="X38" s="327"/>
      <c r="Y38" s="327"/>
      <c r="Z38" s="327"/>
      <c r="AA38" s="327"/>
      <c r="AB38" s="327"/>
      <c r="AC38" s="279" t="s">
        <v>441</v>
      </c>
      <c r="AD38" s="327"/>
      <c r="AE38" s="327"/>
      <c r="AF38" s="327"/>
      <c r="AG38" s="327"/>
      <c r="AH38" s="327"/>
      <c r="AI38" s="327"/>
      <c r="AJ38" s="327"/>
      <c r="AK38" s="327"/>
      <c r="AL38" s="327"/>
      <c r="AM38" s="327"/>
      <c r="AN38" s="327"/>
      <c r="AO38" s="327"/>
      <c r="AP38" s="327"/>
      <c r="AQ38" s="327"/>
      <c r="AR38" s="327"/>
      <c r="AS38" s="327"/>
      <c r="AT38" s="327"/>
      <c r="AU38" s="327"/>
      <c r="AV38" s="327"/>
      <c r="AW38" s="327"/>
      <c r="AX38" s="327"/>
      <c r="AY38" s="327"/>
      <c r="AZ38" s="327"/>
      <c r="BA38" s="279" t="s">
        <v>441</v>
      </c>
      <c r="BD38" s="369"/>
      <c r="BE38" s="369"/>
      <c r="BF38" s="369"/>
      <c r="BG38" s="369"/>
      <c r="BH38" s="369"/>
      <c r="BI38" s="419">
        <v>0</v>
      </c>
    </row>
    <row customHeight="1" ht="14.699999999999998">
      <c r="Q39" s="292"/>
      <c r="R39" s="377"/>
      <c r="S39" s="1276"/>
      <c r="T39" s="364"/>
      <c r="U39" s="1245"/>
      <c r="V39" s="2253"/>
      <c r="W39" s="2253"/>
      <c r="X39" s="2253"/>
      <c r="Y39" s="2253"/>
      <c r="Z39" s="2253"/>
      <c r="AA39" s="2253"/>
      <c r="AB39" s="2253"/>
      <c r="AC39" s="2253"/>
      <c r="AD39" s="2253"/>
      <c r="AE39" s="2253"/>
      <c r="AF39" s="2253"/>
      <c r="AG39" s="2253"/>
      <c r="AH39" s="2253"/>
      <c r="AI39" s="2253"/>
      <c r="AJ39" s="2253"/>
      <c r="AK39" s="2253"/>
      <c r="AL39" s="2253"/>
      <c r="AM39" s="2253"/>
      <c r="AN39" s="2253"/>
      <c r="AO39" s="2253"/>
      <c r="AP39" s="2253"/>
      <c r="AQ39" s="2253"/>
      <c r="AR39" s="2253"/>
      <c r="AS39" s="2253"/>
      <c r="AT39" s="2253"/>
      <c r="AU39" s="2253"/>
      <c r="AV39" s="2253"/>
      <c r="AW39" s="2253"/>
      <c r="AX39" s="2253"/>
      <c r="AY39" s="2253"/>
      <c r="AZ39" s="2253"/>
      <c r="BA39" s="2253"/>
      <c r="BI39" s="1156">
        <v>14</v>
      </c>
    </row>
    <row customHeight="1" ht="14.699999999999998">
      <c r="Q40" s="292"/>
      <c r="R40" s="377"/>
      <c r="S40" s="2128" t="s">
        <v>317</v>
      </c>
      <c r="T40" s="2128"/>
      <c r="U40" s="2128"/>
      <c r="V40" s="2128"/>
      <c r="W40" s="2128"/>
      <c r="X40" s="2128"/>
      <c r="Y40" s="2128"/>
      <c r="Z40" s="2128"/>
      <c r="AA40" s="2128"/>
      <c r="AB40" s="2128"/>
      <c r="AC40" s="2128"/>
      <c r="AD40" s="2128"/>
      <c r="AE40" s="2128"/>
      <c r="AF40" s="2128"/>
      <c r="AG40" s="2128"/>
      <c r="AH40" s="2128"/>
      <c r="AI40" s="2128"/>
      <c r="AJ40" s="2128"/>
      <c r="AK40" s="2128"/>
      <c r="AL40" s="2128"/>
      <c r="AM40" s="2128"/>
      <c r="AN40" s="2128"/>
      <c r="AO40" s="2128"/>
      <c r="AP40" s="2128"/>
      <c r="AQ40" s="2128"/>
      <c r="AR40" s="2128"/>
      <c r="AS40" s="2128"/>
      <c r="AT40" s="2128"/>
      <c r="AU40" s="2128"/>
      <c r="AV40" s="2128"/>
      <c r="AW40" s="2128"/>
      <c r="AX40" s="2128"/>
      <c r="AY40" s="2128"/>
      <c r="AZ40" s="2128"/>
      <c r="BA40" s="2128"/>
      <c r="BB40" s="2128"/>
      <c r="BC40" s="2128" t="s">
        <v>318</v>
      </c>
      <c r="BI40" s="1156">
        <v>14</v>
      </c>
    </row>
    <row customHeight="1" ht="14.699999999999998">
      <c r="Q41" s="292"/>
      <c r="R41" s="377"/>
      <c r="S41" s="2274" t="s">
        <v>89</v>
      </c>
      <c r="T41" s="2210" t="s">
        <v>526</v>
      </c>
      <c r="U41" s="302"/>
      <c r="V41" s="2275" t="s">
        <v>443</v>
      </c>
      <c r="W41" s="2276"/>
      <c r="X41" s="2276"/>
      <c r="Y41" s="2276"/>
      <c r="Z41" s="2276"/>
      <c r="AA41" s="2276"/>
      <c r="AB41" s="2277"/>
      <c r="AC41" s="2278" t="s">
        <v>444</v>
      </c>
      <c r="AD41" s="2329" t="s">
        <v>527</v>
      </c>
      <c r="AE41" s="2292"/>
      <c r="AF41" s="2292"/>
      <c r="AG41" s="2330"/>
      <c r="AH41" s="2329" t="s">
        <v>528</v>
      </c>
      <c r="AI41" s="2292"/>
      <c r="AJ41" s="2292"/>
      <c r="AK41" s="2330"/>
      <c r="AL41" s="2329" t="s">
        <v>529</v>
      </c>
      <c r="AM41" s="2292"/>
      <c r="AN41" s="2292"/>
      <c r="AO41" s="2330"/>
      <c r="AP41" s="2329" t="s">
        <v>530</v>
      </c>
      <c r="AQ41" s="2292"/>
      <c r="AR41" s="2292"/>
      <c r="AS41" s="2330"/>
      <c r="AT41" s="2275" t="s">
        <v>443</v>
      </c>
      <c r="AU41" s="2276"/>
      <c r="AV41" s="2276"/>
      <c r="AW41" s="2276"/>
      <c r="AX41" s="2276"/>
      <c r="AY41" s="2276"/>
      <c r="AZ41" s="2277"/>
      <c r="BA41" s="2278" t="s">
        <v>444</v>
      </c>
      <c r="BB41" s="2281" t="s">
        <v>446</v>
      </c>
      <c r="BC41" s="2128"/>
      <c r="BI41" s="1156">
        <v>14</v>
      </c>
    </row>
    <row customHeight="1" ht="35.699999999999996">
      <c r="Q42" s="292"/>
      <c r="R42" s="377"/>
      <c r="S42" s="2274"/>
      <c r="T42" s="2210"/>
      <c r="U42" s="1032"/>
      <c r="V42" s="2193" t="s">
        <v>531</v>
      </c>
      <c r="W42" s="2194"/>
      <c r="X42" s="2193" t="s">
        <v>532</v>
      </c>
      <c r="Y42" s="2194"/>
      <c r="Z42" s="2295" t="s">
        <v>533</v>
      </c>
      <c r="AA42" s="2314"/>
      <c r="AB42" s="2315"/>
      <c r="AC42" s="2279"/>
      <c r="AD42" s="2331"/>
      <c r="AE42" s="2332"/>
      <c r="AF42" s="2332"/>
      <c r="AG42" s="2333"/>
      <c r="AH42" s="2331"/>
      <c r="AI42" s="2332"/>
      <c r="AJ42" s="2332"/>
      <c r="AK42" s="2333"/>
      <c r="AL42" s="2331"/>
      <c r="AM42" s="2332"/>
      <c r="AN42" s="2332"/>
      <c r="AO42" s="2333"/>
      <c r="AP42" s="2331"/>
      <c r="AQ42" s="2332"/>
      <c r="AR42" s="2332"/>
      <c r="AS42" s="2333"/>
      <c r="AT42" s="2193" t="s">
        <v>531</v>
      </c>
      <c r="AU42" s="2194"/>
      <c r="AV42" s="2193" t="s">
        <v>532</v>
      </c>
      <c r="AW42" s="2194"/>
      <c r="AX42" s="2295" t="s">
        <v>533</v>
      </c>
      <c r="AY42" s="2314"/>
      <c r="AZ42" s="2315"/>
      <c r="BA42" s="2279"/>
      <c r="BB42" s="2282"/>
      <c r="BC42" s="2128"/>
      <c r="BI42" s="1156">
        <v>34</v>
      </c>
    </row>
    <row customHeight="1" ht="14.699999999999998">
      <c r="Q43" s="292"/>
      <c r="R43" s="377"/>
      <c r="S43" s="2274"/>
      <c r="T43" s="2210"/>
      <c r="U43" s="1032"/>
      <c r="V43" s="2201"/>
      <c r="W43" s="2202"/>
      <c r="X43" s="2201"/>
      <c r="Y43" s="2202"/>
      <c r="Z43" s="2296"/>
      <c r="AA43" s="2316"/>
      <c r="AB43" s="2317"/>
      <c r="AC43" s="2279"/>
      <c r="AD43" s="2331"/>
      <c r="AE43" s="2332"/>
      <c r="AF43" s="2332"/>
      <c r="AG43" s="2333"/>
      <c r="AH43" s="2331"/>
      <c r="AI43" s="2332"/>
      <c r="AJ43" s="2332"/>
      <c r="AK43" s="2333"/>
      <c r="AL43" s="2331"/>
      <c r="AM43" s="2332"/>
      <c r="AN43" s="2332"/>
      <c r="AO43" s="2333"/>
      <c r="AP43" s="2331"/>
      <c r="AQ43" s="2332"/>
      <c r="AR43" s="2332"/>
      <c r="AS43" s="2333"/>
      <c r="AT43" s="2201"/>
      <c r="AU43" s="2202"/>
      <c r="AV43" s="2201"/>
      <c r="AW43" s="2202"/>
      <c r="AX43" s="2296"/>
      <c r="AY43" s="2316"/>
      <c r="AZ43" s="2317"/>
      <c r="BA43" s="2279"/>
      <c r="BB43" s="2282"/>
      <c r="BC43" s="2128"/>
      <c r="BI43" s="1156">
        <v>14</v>
      </c>
    </row>
    <row customHeight="1" ht="14.699999999999998">
      <c r="A44" s="1371"/>
      <c r="B44" s="1371" t="s">
        <v>143</v>
      </c>
      <c r="C44" s="1371" t="s">
        <v>144</v>
      </c>
      <c r="D44" s="1371" t="s">
        <v>145</v>
      </c>
      <c r="E44" s="1365" t="s">
        <v>451</v>
      </c>
      <c r="F44" s="1365" t="s">
        <v>452</v>
      </c>
      <c r="G44" s="1365" t="s">
        <v>453</v>
      </c>
      <c r="H44" s="1365" t="s">
        <v>454</v>
      </c>
      <c r="I44" s="1365" t="s">
        <v>455</v>
      </c>
      <c r="J44" s="1365" t="s">
        <v>456</v>
      </c>
      <c r="K44" s="1365" t="s">
        <v>457</v>
      </c>
      <c r="L44" s="1365" t="s">
        <v>432</v>
      </c>
      <c r="Q44" s="292"/>
      <c r="R44" s="377"/>
      <c r="S44" s="2274"/>
      <c r="T44" s="2210"/>
      <c r="U44" s="303"/>
      <c r="V44" s="1449" t="s">
        <v>497</v>
      </c>
      <c r="W44" s="1449" t="s">
        <v>498</v>
      </c>
      <c r="X44" s="1449" t="s">
        <v>497</v>
      </c>
      <c r="Y44" s="1449" t="s">
        <v>498</v>
      </c>
      <c r="Z44" s="1456" t="s">
        <v>460</v>
      </c>
      <c r="AA44" s="2271" t="s">
        <v>461</v>
      </c>
      <c r="AB44" s="2272"/>
      <c r="AC44" s="2280"/>
      <c r="AD44" s="2334"/>
      <c r="AE44" s="2335"/>
      <c r="AF44" s="2335"/>
      <c r="AG44" s="2336"/>
      <c r="AH44" s="2334"/>
      <c r="AI44" s="2335"/>
      <c r="AJ44" s="2335"/>
      <c r="AK44" s="2336"/>
      <c r="AL44" s="2334"/>
      <c r="AM44" s="2335"/>
      <c r="AN44" s="2335"/>
      <c r="AO44" s="2336"/>
      <c r="AP44" s="2334"/>
      <c r="AQ44" s="2335"/>
      <c r="AR44" s="2335"/>
      <c r="AS44" s="2336"/>
      <c r="AT44" s="1449" t="s">
        <v>497</v>
      </c>
      <c r="AU44" s="1449" t="s">
        <v>498</v>
      </c>
      <c r="AV44" s="1449" t="s">
        <v>497</v>
      </c>
      <c r="AW44" s="1449" t="s">
        <v>498</v>
      </c>
      <c r="AX44" s="1456" t="s">
        <v>460</v>
      </c>
      <c r="AY44" s="2271" t="s">
        <v>461</v>
      </c>
      <c r="AZ44" s="2272"/>
      <c r="BA44" s="2280"/>
      <c r="BB44" s="2283"/>
      <c r="BC44" s="2128"/>
      <c r="BI44" s="1156">
        <v>14</v>
      </c>
    </row>
    <row s="1642" customFormat="1" customHeight="1" ht="11.25" hidden="1">
      <c r="A45" s="1371"/>
      <c r="B45" s="1371"/>
      <c r="C45" s="1371"/>
      <c r="D45" s="1371"/>
      <c r="E45" s="1371"/>
      <c r="F45" s="1371"/>
      <c r="G45" s="1371"/>
      <c r="H45" s="1371"/>
      <c r="I45" s="1371"/>
      <c r="J45" s="1371"/>
      <c r="K45" s="1371"/>
      <c r="L45" s="1365"/>
      <c r="M45" s="1363"/>
      <c r="N45" s="1363"/>
      <c r="O45" s="1363"/>
      <c r="P45" s="511"/>
      <c r="Q45" s="1255"/>
      <c r="R45" s="1255">
        <v>1</v>
      </c>
      <c r="S45" s="1278" t="s">
        <v>118</v>
      </c>
      <c r="T45" s="1256" t="s">
        <v>103</v>
      </c>
      <c r="U45" s="1246" t="str">
        <f>OFFSET(U45,0,-1)</f>
        <v>2</v>
      </c>
      <c r="V45" s="1452">
        <f>OFFSET(V45,0,-1)+1</f>
        <v>3</v>
      </c>
      <c r="W45" s="1452">
        <f>OFFSET(W45,0,-1)+1</f>
        <v>4</v>
      </c>
      <c r="X45" s="1452">
        <f>OFFSET(X45,0,-1)+1</f>
        <v>5</v>
      </c>
      <c r="Y45" s="1452">
        <f>OFFSET(Y45,0,-1)+1</f>
        <v>6</v>
      </c>
      <c r="Z45" s="1452">
        <f>OFFSET(Z45,0,-1)+1</f>
        <v>7</v>
      </c>
      <c r="AA45" s="2273">
        <f>OFFSET(AA45,0,-1)+1</f>
        <v>8</v>
      </c>
      <c r="AB45" s="2273"/>
      <c r="AC45" s="1452">
        <f>OFFSET(AC45,0,-2)+1</f>
        <v>9</v>
      </c>
      <c r="AD45" s="1452">
        <f>OFFSET(AD45,0,-1)+1</f>
        <v>10</v>
      </c>
      <c r="AE45" s="1452"/>
      <c r="AF45" s="1452"/>
      <c r="AG45" s="1452"/>
      <c r="AH45" s="1452"/>
      <c r="AI45" s="1452"/>
      <c r="AJ45" s="1452"/>
      <c r="AK45" s="1452"/>
      <c r="AL45" s="1452"/>
      <c r="AM45" s="1452"/>
      <c r="AN45" s="1452"/>
      <c r="AO45" s="1452"/>
      <c r="AP45" s="1452"/>
      <c r="AQ45" s="1452"/>
      <c r="AR45" s="1452"/>
      <c r="AS45" s="1452"/>
      <c r="AT45" s="1452"/>
      <c r="AU45" s="1452"/>
      <c r="AV45" s="1452"/>
      <c r="AW45" s="1452">
        <f>OFFSET(AW45,0,-1)+1</f>
        <v>1</v>
      </c>
      <c r="AX45" s="1452">
        <f>OFFSET(AX45,0,-1)+1</f>
        <v>2</v>
      </c>
      <c r="AY45" s="2273">
        <f>OFFSET(AY45,0,-1)+1</f>
        <v>3</v>
      </c>
      <c r="AZ45" s="2273"/>
      <c r="BA45" s="1452">
        <f>OFFSET(BA45,0,-2)+1</f>
        <v>4</v>
      </c>
      <c r="BB45" s="1246">
        <f>OFFSET(BB45,0,-1)</f>
        <v>4</v>
      </c>
      <c r="BC45" s="1452">
        <f>OFFSET(BC45,0,-1)+1</f>
        <v>5</v>
      </c>
      <c r="BD45" s="512"/>
      <c r="BE45" s="512"/>
      <c r="BF45" s="512"/>
      <c r="BG45" s="512"/>
      <c r="BH45" s="512"/>
      <c r="BI45" s="497">
        <v>0</v>
      </c>
    </row>
    <row customHeight="1" ht="22.049999999999997">
      <c r="A46" s="1364" t="s">
        <v>263</v>
      </c>
      <c r="B46" s="1364"/>
      <c r="C46" s="1364"/>
      <c r="D46" s="1364"/>
      <c r="E46" s="2259">
        <v>1</v>
      </c>
      <c r="F46" s="1364"/>
      <c r="G46" s="1364"/>
      <c r="H46" s="1364"/>
      <c r="I46" s="1364"/>
      <c r="J46" s="1364"/>
      <c r="K46" s="1364"/>
      <c r="L46" s="1365"/>
      <c r="M46" s="1366"/>
      <c r="N46" s="1366"/>
      <c r="O46" s="1366"/>
      <c r="P46" s="1410"/>
      <c r="Q46" s="874"/>
      <c r="R46" s="356"/>
      <c r="S46" s="1458">
        <f>INDEX(PT_DIFFERENTIATION_NUM_NTAR,MATCH(A46,PT_DIFFERENTIATION_NTAR_ID,0))</f>
        <v>0</v>
      </c>
      <c r="T46" s="299" t="s">
        <v>131</v>
      </c>
      <c r="U46" s="301"/>
      <c r="V46" s="2244"/>
      <c r="W46" s="2244"/>
      <c r="X46" s="2244"/>
      <c r="Y46" s="2244"/>
      <c r="Z46" s="2244"/>
      <c r="AA46" s="2244"/>
      <c r="AB46" s="2244"/>
      <c r="AC46" s="2245"/>
      <c r="AD46" s="2243" t="str">
        <f>INDEX(PT_DIFFERENTIATION_NTAR,MATCH(A46,PT_DIFFERENTIATION_NTAR_ID,0))</f>
        <v/>
      </c>
      <c r="AE46" s="2244"/>
      <c r="AF46" s="2244"/>
      <c r="AG46" s="2244"/>
      <c r="AH46" s="2244"/>
      <c r="AI46" s="2244"/>
      <c r="AJ46" s="2244"/>
      <c r="AK46" s="2244"/>
      <c r="AL46" s="2244"/>
      <c r="AM46" s="2244"/>
      <c r="AN46" s="2244"/>
      <c r="AO46" s="2244"/>
      <c r="AP46" s="2244"/>
      <c r="AQ46" s="2244"/>
      <c r="AR46" s="2244"/>
      <c r="AS46" s="2244"/>
      <c r="AT46" s="2244"/>
      <c r="AU46" s="2244"/>
      <c r="AV46" s="2244"/>
      <c r="AW46" s="2244"/>
      <c r="AX46" s="2244"/>
      <c r="AY46" s="2244"/>
      <c r="AZ46" s="2244"/>
      <c r="BA46" s="2244"/>
      <c r="BB46" s="2245"/>
      <c r="BC46" s="1259"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BE46" s="501"/>
      <c r="BF46" s="501" t="str">
        <f>IF(T46="","",T46)</f>
        <v>Наименование тарифа</v>
      </c>
      <c r="BG46" s="501"/>
      <c r="BH46" s="501"/>
      <c r="BI46" s="1156">
        <v>21</v>
      </c>
    </row>
    <row customHeight="1" ht="22.049999999999997">
      <c r="A47" s="1364" t="s">
        <v>263</v>
      </c>
      <c r="B47" s="1364" t="s">
        <v>264</v>
      </c>
      <c r="C47" s="1364"/>
      <c r="D47" s="1364"/>
      <c r="E47" s="2260"/>
      <c r="F47" s="2259">
        <v>1</v>
      </c>
      <c r="G47" s="1364"/>
      <c r="H47" s="1364"/>
      <c r="I47" s="1364"/>
      <c r="J47" s="1364"/>
      <c r="K47" s="1364"/>
      <c r="L47" s="1365"/>
      <c r="M47" s="1366"/>
      <c r="N47" s="1366"/>
      <c r="O47" s="1366"/>
      <c r="P47" s="1411"/>
      <c r="Q47" s="1412"/>
      <c r="R47" s="354"/>
      <c r="S47" s="1458" t="str">
        <f>INDEX(PT_DIFFERENTIATION_NUM_TER,MATCH(B47,PT_DIFFERENTIATION_TER_ID,0))</f>
        <v>.</v>
      </c>
      <c r="T47" s="309" t="s">
        <v>414</v>
      </c>
      <c r="U47" s="301"/>
      <c r="V47" s="2244"/>
      <c r="W47" s="2244"/>
      <c r="X47" s="2244"/>
      <c r="Y47" s="2244"/>
      <c r="Z47" s="2244"/>
      <c r="AA47" s="2244"/>
      <c r="AB47" s="2244"/>
      <c r="AC47" s="2245"/>
      <c r="AD47" s="2243" t="str">
        <f>INDEX(PT_DIFFERENTIATION_TER,MATCH(B47,PT_DIFFERENTIATION_TER_ID,0))</f>
        <v/>
      </c>
      <c r="AE47" s="2244"/>
      <c r="AF47" s="2244"/>
      <c r="AG47" s="2244"/>
      <c r="AH47" s="2244"/>
      <c r="AI47" s="2244"/>
      <c r="AJ47" s="2244"/>
      <c r="AK47" s="2244"/>
      <c r="AL47" s="2244"/>
      <c r="AM47" s="2244"/>
      <c r="AN47" s="2244"/>
      <c r="AO47" s="2244"/>
      <c r="AP47" s="2244"/>
      <c r="AQ47" s="2244"/>
      <c r="AR47" s="2244"/>
      <c r="AS47" s="2244"/>
      <c r="AT47" s="2244"/>
      <c r="AU47" s="2244"/>
      <c r="AV47" s="2244"/>
      <c r="AW47" s="2244"/>
      <c r="AX47" s="2244"/>
      <c r="AY47" s="2244"/>
      <c r="AZ47" s="2244"/>
      <c r="BA47" s="2244"/>
      <c r="BB47" s="2245"/>
      <c r="BC47" s="1259" t="s">
        <v>415</v>
      </c>
      <c r="BE47" s="501"/>
      <c r="BF47" s="501" t="str">
        <f>IF(T47="","",T47)</f>
        <v>Территория действия тарифа</v>
      </c>
      <c r="BG47" s="501"/>
      <c r="BH47" s="501"/>
      <c r="BI47" s="1156">
        <v>21</v>
      </c>
    </row>
    <row customHeight="1" ht="43.050000000000004">
      <c r="A48" s="1364" t="s">
        <v>263</v>
      </c>
      <c r="B48" s="1364" t="s">
        <v>264</v>
      </c>
      <c r="C48" s="1364" t="s">
        <v>265</v>
      </c>
      <c r="D48" s="1364"/>
      <c r="E48" s="2260"/>
      <c r="F48" s="2260"/>
      <c r="G48" s="2259">
        <v>1</v>
      </c>
      <c r="H48" s="1364"/>
      <c r="I48" s="1364"/>
      <c r="J48" s="1364"/>
      <c r="K48" s="1364"/>
      <c r="L48" s="1365"/>
      <c r="M48" s="1366"/>
      <c r="N48" s="1366"/>
      <c r="O48" s="1366"/>
      <c r="P48" s="1413"/>
      <c r="Q48" s="1412"/>
      <c r="R48" s="354"/>
      <c r="S48" s="1458" t="str">
        <f>INDEX(PT_DIFFERENTIATION_NUM_CS,MATCH(C48,PT_DIFFERENTIATION_CS_ID,0))</f>
        <v>..</v>
      </c>
      <c r="T48" s="310" t="s">
        <v>500</v>
      </c>
      <c r="U48" s="301"/>
      <c r="V48" s="2244"/>
      <c r="W48" s="2244"/>
      <c r="X48" s="2244"/>
      <c r="Y48" s="2244"/>
      <c r="Z48" s="2244"/>
      <c r="AA48" s="2244"/>
      <c r="AB48" s="2244"/>
      <c r="AC48" s="2245"/>
      <c r="AD48" s="2243" t="str">
        <f>INDEX(PT_DIFFERENTIATION_CS,MATCH(C48,PT_DIFFERENTIATION_CS_ID,0))</f>
        <v/>
      </c>
      <c r="AE48" s="2244"/>
      <c r="AF48" s="2244"/>
      <c r="AG48" s="2244"/>
      <c r="AH48" s="2244"/>
      <c r="AI48" s="2244"/>
      <c r="AJ48" s="2244"/>
      <c r="AK48" s="2244"/>
      <c r="AL48" s="2244"/>
      <c r="AM48" s="2244"/>
      <c r="AN48" s="2244"/>
      <c r="AO48" s="2244"/>
      <c r="AP48" s="2244"/>
      <c r="AQ48" s="2244"/>
      <c r="AR48" s="2244"/>
      <c r="AS48" s="2244"/>
      <c r="AT48" s="2244"/>
      <c r="AU48" s="2244"/>
      <c r="AV48" s="2244"/>
      <c r="AW48" s="2244"/>
      <c r="AX48" s="2244"/>
      <c r="AY48" s="2244"/>
      <c r="AZ48" s="2244"/>
      <c r="BA48" s="2244"/>
      <c r="BB48" s="2245"/>
      <c r="BC48" s="1259" t="s">
        <v>501</v>
      </c>
      <c r="BE48" s="501"/>
      <c r="BF48" s="501" t="str">
        <f>IF(T48="","",T48)</f>
        <v>Наименование централизованной системы холодного водоснабжения</v>
      </c>
      <c r="BG48" s="501"/>
      <c r="BH48" s="501"/>
      <c r="BI48" s="1156">
        <v>41</v>
      </c>
    </row>
    <row s="1643" customFormat="1" customHeight="1" ht="0">
      <c r="A49" s="1344" t="s">
        <v>263</v>
      </c>
      <c r="B49" s="1344" t="s">
        <v>264</v>
      </c>
      <c r="C49" s="1344" t="s">
        <v>265</v>
      </c>
      <c r="D49" s="1344" t="s">
        <v>534</v>
      </c>
      <c r="E49" s="2260"/>
      <c r="F49" s="2260"/>
      <c r="G49" s="2260"/>
      <c r="H49" s="2259">
        <v>1</v>
      </c>
      <c r="I49" s="1344"/>
      <c r="J49" s="1344"/>
      <c r="K49" s="1344"/>
      <c r="L49" s="1347"/>
      <c r="M49" s="1316"/>
      <c r="N49" s="1316"/>
      <c r="O49" s="1316"/>
      <c r="P49" s="1498"/>
      <c r="Q49" s="1499"/>
      <c r="R49" s="358"/>
      <c r="S49" s="1043"/>
      <c r="T49" s="1500"/>
      <c r="U49" s="1385"/>
      <c r="V49" s="2298"/>
      <c r="W49" s="2298"/>
      <c r="X49" s="2298"/>
      <c r="Y49" s="2298"/>
      <c r="Z49" s="2298"/>
      <c r="AA49" s="2298"/>
      <c r="AB49" s="2298"/>
      <c r="AC49" s="2299"/>
      <c r="AD49" s="2297"/>
      <c r="AE49" s="2298"/>
      <c r="AF49" s="2298"/>
      <c r="AG49" s="2298"/>
      <c r="AH49" s="2298"/>
      <c r="AI49" s="2298"/>
      <c r="AJ49" s="2298"/>
      <c r="AK49" s="2298"/>
      <c r="AL49" s="2298"/>
      <c r="AM49" s="2298"/>
      <c r="AN49" s="2298"/>
      <c r="AO49" s="2298"/>
      <c r="AP49" s="2298"/>
      <c r="AQ49" s="2298"/>
      <c r="AR49" s="2298"/>
      <c r="AS49" s="2298"/>
      <c r="AT49" s="2298"/>
      <c r="AU49" s="2298"/>
      <c r="AV49" s="2298"/>
      <c r="AW49" s="2298"/>
      <c r="AX49" s="2298"/>
      <c r="AY49" s="2298"/>
      <c r="AZ49" s="2298"/>
      <c r="BA49" s="2298"/>
      <c r="BB49" s="2299"/>
      <c r="BC49" s="1386" t="s">
        <v>419</v>
      </c>
      <c r="BE49" s="501"/>
      <c r="BF49" s="501" t="str">
        <f>IF(T49="","",T49)</f>
        <v/>
      </c>
      <c r="BG49" s="501"/>
      <c r="BH49" s="501"/>
      <c r="BI49" s="512">
        <v>0</v>
      </c>
    </row>
    <row s="1643" customFormat="1" customHeight="1" ht="0">
      <c r="A50" s="1344" t="s">
        <v>263</v>
      </c>
      <c r="B50" s="1344" t="s">
        <v>264</v>
      </c>
      <c r="C50" s="1344" t="s">
        <v>265</v>
      </c>
      <c r="D50" s="1344" t="s">
        <v>534</v>
      </c>
      <c r="E50" s="2260"/>
      <c r="F50" s="2260"/>
      <c r="G50" s="2260"/>
      <c r="H50" s="2260"/>
      <c r="I50" s="2257" t="str">
        <f>S49&amp;".1"</f>
        <v>.1</v>
      </c>
      <c r="J50" s="1344"/>
      <c r="K50" s="1344"/>
      <c r="L50" s="1347" t="s">
        <v>420</v>
      </c>
      <c r="M50" s="511"/>
      <c r="N50" s="511"/>
      <c r="O50" s="511"/>
      <c r="P50" s="2258">
        <v>1</v>
      </c>
      <c r="Q50" s="1463"/>
      <c r="R50" s="357"/>
      <c r="S50" s="1043"/>
      <c r="T50" s="1384"/>
      <c r="U50" s="1385"/>
      <c r="V50" s="2298"/>
      <c r="W50" s="2298"/>
      <c r="X50" s="2298"/>
      <c r="Y50" s="2298"/>
      <c r="Z50" s="2298"/>
      <c r="AA50" s="2298"/>
      <c r="AB50" s="2298"/>
      <c r="AC50" s="2299"/>
      <c r="AD50" s="2297"/>
      <c r="AE50" s="2298"/>
      <c r="AF50" s="2298"/>
      <c r="AG50" s="2298"/>
      <c r="AH50" s="2298"/>
      <c r="AI50" s="2298"/>
      <c r="AJ50" s="2298"/>
      <c r="AK50" s="2298"/>
      <c r="AL50" s="2298"/>
      <c r="AM50" s="2298"/>
      <c r="AN50" s="2298"/>
      <c r="AO50" s="2298"/>
      <c r="AP50" s="2298"/>
      <c r="AQ50" s="2298"/>
      <c r="AR50" s="2298"/>
      <c r="AS50" s="2298"/>
      <c r="AT50" s="2298"/>
      <c r="AU50" s="2298"/>
      <c r="AV50" s="2298"/>
      <c r="AW50" s="2298"/>
      <c r="AX50" s="2298"/>
      <c r="AY50" s="2298"/>
      <c r="AZ50" s="2298"/>
      <c r="BA50" s="2298"/>
      <c r="BB50" s="2299"/>
      <c r="BC50" s="1386"/>
      <c r="BE50" s="501"/>
      <c r="BF50" s="501" t="str">
        <f>IF(T50="","",T50)</f>
        <v/>
      </c>
      <c r="BG50" s="501"/>
      <c r="BH50" s="501"/>
      <c r="BI50" s="512">
        <v>0</v>
      </c>
    </row>
    <row s="1643" customFormat="1" customHeight="1" ht="0">
      <c r="A51" s="1344" t="s">
        <v>263</v>
      </c>
      <c r="B51" s="1344" t="s">
        <v>264</v>
      </c>
      <c r="C51" s="1344" t="s">
        <v>265</v>
      </c>
      <c r="D51" s="1344" t="s">
        <v>534</v>
      </c>
      <c r="E51" s="2260"/>
      <c r="F51" s="2260"/>
      <c r="G51" s="2260"/>
      <c r="H51" s="2260"/>
      <c r="I51" s="2287"/>
      <c r="J51" s="2257" t="str">
        <f>S49&amp;".1"</f>
        <v>.1</v>
      </c>
      <c r="K51" s="1344"/>
      <c r="L51" s="1347"/>
      <c r="M51" s="511"/>
      <c r="N51" s="511"/>
      <c r="O51" s="511"/>
      <c r="P51" s="2258"/>
      <c r="Q51" s="2258">
        <v>1</v>
      </c>
      <c r="R51" s="358"/>
      <c r="S51" s="1043"/>
      <c r="T51" s="1400"/>
      <c r="U51" s="1385"/>
      <c r="V51" s="2298"/>
      <c r="W51" s="2298"/>
      <c r="X51" s="2298"/>
      <c r="Y51" s="2298"/>
      <c r="Z51" s="2298"/>
      <c r="AA51" s="2298"/>
      <c r="AB51" s="2298"/>
      <c r="AC51" s="2299"/>
      <c r="AD51" s="2297"/>
      <c r="AE51" s="2298"/>
      <c r="AF51" s="2298"/>
      <c r="AG51" s="2298"/>
      <c r="AH51" s="2298"/>
      <c r="AI51" s="2298"/>
      <c r="AJ51" s="2298"/>
      <c r="AK51" s="2298"/>
      <c r="AL51" s="2298"/>
      <c r="AM51" s="2298"/>
      <c r="AN51" s="2365"/>
      <c r="AO51" s="2365"/>
      <c r="AP51" s="2298"/>
      <c r="AQ51" s="2298"/>
      <c r="AR51" s="2298"/>
      <c r="AS51" s="2298"/>
      <c r="AT51" s="2298"/>
      <c r="AU51" s="2298"/>
      <c r="AV51" s="2298"/>
      <c r="AW51" s="2298"/>
      <c r="AX51" s="2298"/>
      <c r="AY51" s="2298"/>
      <c r="AZ51" s="2298"/>
      <c r="BA51" s="2298"/>
      <c r="BB51" s="2299"/>
      <c r="BC51" s="1386"/>
      <c r="BE51" s="501"/>
      <c r="BF51" s="501" t="str">
        <f>IF(T51="","",T51)</f>
        <v/>
      </c>
      <c r="BG51" s="501"/>
      <c r="BH51" s="501"/>
      <c r="BI51" s="512">
        <v>0</v>
      </c>
    </row>
    <row customHeight="1" ht="11.549999999999999">
      <c r="A52" s="1364" t="s">
        <v>263</v>
      </c>
      <c r="B52" s="1364" t="s">
        <v>264</v>
      </c>
      <c r="C52" s="1364" t="s">
        <v>265</v>
      </c>
      <c r="D52" s="1364" t="s">
        <v>534</v>
      </c>
      <c r="E52" s="2260"/>
      <c r="F52" s="2260"/>
      <c r="G52" s="2260"/>
      <c r="H52" s="2260"/>
      <c r="I52" s="2287"/>
      <c r="J52" s="2287"/>
      <c r="K52" s="2257" t="str">
        <f>S48&amp;".1"</f>
        <v>...1</v>
      </c>
      <c r="L52" s="1365"/>
      <c r="P52" s="2258"/>
      <c r="Q52" s="2258"/>
      <c r="R52" s="358">
        <v>1</v>
      </c>
      <c r="S52" s="2342" t="str">
        <f>$K52</f>
        <v>...1</v>
      </c>
      <c r="T52" s="2361"/>
      <c r="U52" s="301"/>
      <c r="V52" s="752"/>
      <c r="W52" s="1258"/>
      <c r="X52" s="752"/>
      <c r="Y52" s="1258"/>
      <c r="Z52" s="1735"/>
      <c r="AA52" s="1460" t="s">
        <v>61</v>
      </c>
      <c r="AB52" s="1735"/>
      <c r="AC52" s="1460" t="s">
        <v>61</v>
      </c>
      <c r="AD52" s="2186" t="s">
        <v>61</v>
      </c>
      <c r="AE52" s="2327"/>
      <c r="AF52" s="2206">
        <v>1</v>
      </c>
      <c r="AG52" s="2364"/>
      <c r="AH52" s="2108" t="s">
        <v>61</v>
      </c>
      <c r="AI52" s="2327"/>
      <c r="AJ52" s="2206">
        <v>1</v>
      </c>
      <c r="AK52" s="2328" t="s">
        <v>28</v>
      </c>
      <c r="AL52" s="2108" t="s">
        <v>61</v>
      </c>
      <c r="AM52" s="2193"/>
      <c r="AN52" s="2206">
        <v>1</v>
      </c>
      <c r="AO52" s="2358"/>
      <c r="AP52" s="2359" t="s">
        <v>61</v>
      </c>
      <c r="AQ52" s="312"/>
      <c r="AR52" s="1464">
        <v>1</v>
      </c>
      <c r="AS52" s="1467" t="s">
        <v>28</v>
      </c>
      <c r="AT52" s="752"/>
      <c r="AU52" s="1258"/>
      <c r="AV52" s="752"/>
      <c r="AW52" s="1258"/>
      <c r="AX52" s="1735"/>
      <c r="AY52" s="1460" t="s">
        <v>61</v>
      </c>
      <c r="AZ52" s="1735"/>
      <c r="BA52" s="1460" t="s">
        <v>61</v>
      </c>
      <c r="BB52" s="1349"/>
      <c r="BC52" s="2254" t="s">
        <v>520</v>
      </c>
      <c r="BE52" s="501"/>
      <c r="BF52" s="501" t="str">
        <f>IF(T52="","",T52)</f>
        <v/>
      </c>
      <c r="BG52" s="501"/>
      <c r="BH52" s="501"/>
      <c r="BI52" s="1156">
        <v>11</v>
      </c>
    </row>
    <row customHeight="1" ht="11.549999999999999">
      <c r="A53" s="1364"/>
      <c r="B53" s="1364"/>
      <c r="C53" s="1364"/>
      <c r="D53" s="1364"/>
      <c r="E53" s="2260"/>
      <c r="F53" s="2260"/>
      <c r="G53" s="2260"/>
      <c r="H53" s="2260"/>
      <c r="I53" s="2287"/>
      <c r="J53" s="2287"/>
      <c r="K53" s="2257"/>
      <c r="L53" s="1365"/>
      <c r="P53" s="2258"/>
      <c r="Q53" s="2258"/>
      <c r="R53" s="358"/>
      <c r="S53" s="2343"/>
      <c r="T53" s="2362"/>
      <c r="U53" s="301"/>
      <c r="V53" s="1394"/>
      <c r="W53" s="1497"/>
      <c r="X53" s="1394"/>
      <c r="Y53" s="1497"/>
      <c r="Z53" s="1394"/>
      <c r="AA53" s="1394"/>
      <c r="AB53" s="1394"/>
      <c r="AC53" s="1394"/>
      <c r="AD53" s="2187"/>
      <c r="AE53" s="2327"/>
      <c r="AF53" s="2206"/>
      <c r="AG53" s="2364"/>
      <c r="AH53" s="2108"/>
      <c r="AI53" s="2327"/>
      <c r="AJ53" s="2206"/>
      <c r="AK53" s="2328"/>
      <c r="AL53" s="2108"/>
      <c r="AM53" s="2201"/>
      <c r="AN53" s="2206"/>
      <c r="AO53" s="2358"/>
      <c r="AP53" s="2360"/>
      <c r="AQ53" s="317"/>
      <c r="AR53" s="417"/>
      <c r="AS53" s="417" t="s">
        <v>521</v>
      </c>
      <c r="AT53" s="1394"/>
      <c r="AU53" s="1497"/>
      <c r="AV53" s="1394"/>
      <c r="AW53" s="1497"/>
      <c r="AX53" s="1394"/>
      <c r="AY53" s="1394"/>
      <c r="AZ53" s="1394"/>
      <c r="BA53" s="1394"/>
      <c r="BB53" s="1398"/>
      <c r="BC53" s="2255"/>
      <c r="BE53" s="501"/>
      <c r="BF53" s="501"/>
      <c r="BG53" s="501"/>
      <c r="BH53" s="501"/>
      <c r="BI53" s="1156">
        <v>11</v>
      </c>
    </row>
    <row customHeight="1" ht="11.549999999999999">
      <c r="A54" s="1364" t="s">
        <v>263</v>
      </c>
      <c r="B54" s="1364"/>
      <c r="C54" s="1364"/>
      <c r="D54" s="1364"/>
      <c r="E54" s="2260"/>
      <c r="F54" s="2260"/>
      <c r="G54" s="2260"/>
      <c r="H54" s="2260"/>
      <c r="I54" s="2287"/>
      <c r="J54" s="2287"/>
      <c r="K54" s="2257"/>
      <c r="L54" s="1365"/>
      <c r="P54" s="2258"/>
      <c r="Q54" s="2258"/>
      <c r="R54" s="358"/>
      <c r="S54" s="2343"/>
      <c r="T54" s="2362"/>
      <c r="U54" s="301"/>
      <c r="V54" s="1394"/>
      <c r="W54" s="1497"/>
      <c r="X54" s="1394"/>
      <c r="Y54" s="1497"/>
      <c r="Z54" s="1394"/>
      <c r="AA54" s="1394"/>
      <c r="AB54" s="1394"/>
      <c r="AC54" s="1394"/>
      <c r="AD54" s="2187"/>
      <c r="AE54" s="2327"/>
      <c r="AF54" s="2206"/>
      <c r="AG54" s="2364"/>
      <c r="AH54" s="2108"/>
      <c r="AI54" s="2327"/>
      <c r="AJ54" s="2206"/>
      <c r="AK54" s="2328"/>
      <c r="AL54" s="2108"/>
      <c r="AM54" s="317"/>
      <c r="AN54" s="1501"/>
      <c r="AO54" s="1501" t="s">
        <v>522</v>
      </c>
      <c r="AP54" s="417"/>
      <c r="AQ54" s="417"/>
      <c r="AR54" s="417"/>
      <c r="AS54" s="1394"/>
      <c r="AT54" s="1394"/>
      <c r="AU54" s="1497"/>
      <c r="AV54" s="1394"/>
      <c r="AW54" s="1497"/>
      <c r="AX54" s="1394"/>
      <c r="AY54" s="1394"/>
      <c r="AZ54" s="1394"/>
      <c r="BA54" s="1394"/>
      <c r="BB54" s="1398"/>
      <c r="BC54" s="2255"/>
      <c r="BE54" s="501"/>
      <c r="BF54" s="501"/>
      <c r="BG54" s="501"/>
      <c r="BH54" s="501"/>
      <c r="BI54" s="1156">
        <v>11</v>
      </c>
    </row>
    <row customHeight="1" ht="11.549999999999999">
      <c r="A55" s="1364" t="s">
        <v>263</v>
      </c>
      <c r="B55" s="1364"/>
      <c r="C55" s="1364"/>
      <c r="D55" s="1364"/>
      <c r="E55" s="2260"/>
      <c r="F55" s="2260"/>
      <c r="G55" s="2260"/>
      <c r="H55" s="2260"/>
      <c r="I55" s="2287"/>
      <c r="J55" s="2287"/>
      <c r="K55" s="2257"/>
      <c r="L55" s="1365"/>
      <c r="P55" s="2258"/>
      <c r="Q55" s="2258"/>
      <c r="R55" s="358"/>
      <c r="S55" s="2343"/>
      <c r="T55" s="2362"/>
      <c r="U55" s="301"/>
      <c r="V55" s="1394"/>
      <c r="W55" s="1497"/>
      <c r="X55" s="1394"/>
      <c r="Y55" s="1497"/>
      <c r="Z55" s="1394"/>
      <c r="AA55" s="1394"/>
      <c r="AB55" s="1394"/>
      <c r="AC55" s="1394"/>
      <c r="AD55" s="2187"/>
      <c r="AE55" s="2327"/>
      <c r="AF55" s="2206"/>
      <c r="AG55" s="2364"/>
      <c r="AH55" s="2108"/>
      <c r="AI55" s="295"/>
      <c r="AJ55" s="416"/>
      <c r="AK55" s="314" t="s">
        <v>523</v>
      </c>
      <c r="AL55" s="1394"/>
      <c r="AM55" s="1394"/>
      <c r="AN55" s="1394"/>
      <c r="AO55" s="1394"/>
      <c r="AP55" s="1394"/>
      <c r="AQ55" s="1394"/>
      <c r="AR55" s="1394"/>
      <c r="AS55" s="1394"/>
      <c r="AT55" s="1394"/>
      <c r="AU55" s="1497"/>
      <c r="AV55" s="1394"/>
      <c r="AW55" s="1497"/>
      <c r="AX55" s="1394"/>
      <c r="AY55" s="1394"/>
      <c r="AZ55" s="1394"/>
      <c r="BA55" s="1394"/>
      <c r="BB55" s="1398"/>
      <c r="BC55" s="2255"/>
      <c r="BE55" s="501"/>
      <c r="BF55" s="501"/>
      <c r="BG55" s="501"/>
      <c r="BH55" s="501"/>
      <c r="BI55" s="1156">
        <v>11</v>
      </c>
    </row>
    <row customHeight="1" ht="11.549999999999999">
      <c r="A56" s="1364" t="s">
        <v>263</v>
      </c>
      <c r="B56" s="1364" t="s">
        <v>264</v>
      </c>
      <c r="C56" s="1364" t="s">
        <v>265</v>
      </c>
      <c r="D56" s="1364" t="s">
        <v>534</v>
      </c>
      <c r="E56" s="2260"/>
      <c r="F56" s="2260"/>
      <c r="G56" s="2260"/>
      <c r="H56" s="2260"/>
      <c r="I56" s="2287"/>
      <c r="J56" s="2287"/>
      <c r="K56" s="2257"/>
      <c r="L56" s="1365"/>
      <c r="P56" s="2258"/>
      <c r="Q56" s="2258"/>
      <c r="R56" s="358"/>
      <c r="S56" s="2344"/>
      <c r="T56" s="2363"/>
      <c r="U56" s="301"/>
      <c r="V56" s="1394"/>
      <c r="W56" s="1395" t="str">
        <f>Z52&amp;"-"&amp;AB52</f>
        <v>-</v>
      </c>
      <c r="X56" s="1394"/>
      <c r="Y56" s="1395" t="str">
        <f>AB52&amp;"-"&amp;AD52</f>
        <v>-да</v>
      </c>
      <c r="Z56" s="1394"/>
      <c r="AA56" s="1394"/>
      <c r="AB56" s="1394"/>
      <c r="AC56" s="1394"/>
      <c r="AD56" s="2113"/>
      <c r="AE56" s="313"/>
      <c r="AF56" s="315"/>
      <c r="AG56" s="417" t="s">
        <v>524</v>
      </c>
      <c r="AH56" s="1394"/>
      <c r="AI56" s="1394"/>
      <c r="AJ56" s="1394"/>
      <c r="AK56" s="1394"/>
      <c r="AL56" s="1394"/>
      <c r="AM56" s="1394"/>
      <c r="AN56" s="1394"/>
      <c r="AO56" s="1394"/>
      <c r="AP56" s="1394"/>
      <c r="AQ56" s="1394"/>
      <c r="AR56" s="1394"/>
      <c r="AS56" s="1394"/>
      <c r="AT56" s="1394"/>
      <c r="AU56" s="1395" t="str">
        <f>AX52&amp;"-"&amp;AZ52</f>
        <v>-</v>
      </c>
      <c r="AV56" s="1394"/>
      <c r="AW56" s="1395" t="str">
        <f>AZ52&amp;"-"&amp;BB52</f>
        <v>-</v>
      </c>
      <c r="AX56" s="1394"/>
      <c r="AY56" s="1394"/>
      <c r="AZ56" s="1394"/>
      <c r="BA56" s="1394"/>
      <c r="BB56" s="1397" t="str">
        <f>BE52&amp;"-"&amp;BG52</f>
        <v>-</v>
      </c>
      <c r="BC56" s="2255"/>
      <c r="BE56" s="501"/>
      <c r="BF56" s="501" t="str">
        <f>IF(T56="","",T56)</f>
        <v/>
      </c>
      <c r="BG56" s="501"/>
      <c r="BH56" s="501"/>
      <c r="BI56" s="1156">
        <v>11</v>
      </c>
    </row>
    <row customHeight="1" ht="11.549999999999999">
      <c r="A57" s="1364" t="s">
        <v>263</v>
      </c>
      <c r="B57" s="1364" t="s">
        <v>264</v>
      </c>
      <c r="C57" s="1364" t="s">
        <v>265</v>
      </c>
      <c r="D57" s="1364" t="s">
        <v>534</v>
      </c>
      <c r="E57" s="2260"/>
      <c r="F57" s="2260"/>
      <c r="G57" s="2260"/>
      <c r="H57" s="2260"/>
      <c r="I57" s="2287"/>
      <c r="J57" s="2257"/>
      <c r="K57" s="1364"/>
      <c r="L57" s="1365"/>
      <c r="P57" s="2258"/>
      <c r="Q57" s="2258"/>
      <c r="R57" s="357"/>
      <c r="S57" s="1279"/>
      <c r="T57" s="288" t="s">
        <v>487</v>
      </c>
      <c r="U57" s="368"/>
      <c r="V57" s="368"/>
      <c r="W57" s="368"/>
      <c r="X57" s="368"/>
      <c r="Y57" s="368"/>
      <c r="Z57" s="368"/>
      <c r="AA57" s="368"/>
      <c r="AB57" s="368"/>
      <c r="AC57" s="325"/>
      <c r="AD57" s="1506"/>
      <c r="AE57" s="368"/>
      <c r="AF57" s="368"/>
      <c r="AG57" s="368"/>
      <c r="AH57" s="368"/>
      <c r="AI57" s="368"/>
      <c r="AJ57" s="368"/>
      <c r="AK57" s="368"/>
      <c r="AL57" s="368"/>
      <c r="AM57" s="368"/>
      <c r="AN57" s="368"/>
      <c r="AO57" s="368"/>
      <c r="AP57" s="368"/>
      <c r="AQ57" s="368"/>
      <c r="AR57" s="368"/>
      <c r="AS57" s="368"/>
      <c r="AT57" s="368"/>
      <c r="AU57" s="368"/>
      <c r="AV57" s="368"/>
      <c r="AW57" s="368"/>
      <c r="AX57" s="368"/>
      <c r="AY57" s="368"/>
      <c r="AZ57" s="368"/>
      <c r="BA57" s="368"/>
      <c r="BB57" s="325"/>
      <c r="BC57" s="2256"/>
      <c r="BE57" s="501"/>
      <c r="BF57" s="501" t="str">
        <f>IF(T57="","",T57)</f>
        <v>Добавить строку</v>
      </c>
      <c r="BG57" s="501"/>
      <c r="BH57" s="501"/>
      <c r="BI57" s="1156">
        <v>11</v>
      </c>
    </row>
    <row s="1643" customFormat="1" customHeight="1" ht="0">
      <c r="A58" s="1344" t="s">
        <v>263</v>
      </c>
      <c r="B58" s="1344" t="s">
        <v>264</v>
      </c>
      <c r="C58" s="1344" t="s">
        <v>265</v>
      </c>
      <c r="D58" s="1344" t="s">
        <v>534</v>
      </c>
      <c r="E58" s="2260"/>
      <c r="F58" s="2260"/>
      <c r="G58" s="2260"/>
      <c r="H58" s="2260"/>
      <c r="I58" s="2257"/>
      <c r="J58" s="1344"/>
      <c r="K58" s="1344"/>
      <c r="L58" s="1347"/>
      <c r="M58" s="511"/>
      <c r="N58" s="511"/>
      <c r="O58" s="511"/>
      <c r="P58" s="2258"/>
      <c r="Q58" s="1463"/>
      <c r="R58" s="357"/>
      <c r="S58" s="1387"/>
      <c r="T58" s="1388"/>
      <c r="U58" s="1389"/>
      <c r="V58" s="1389"/>
      <c r="W58" s="1389"/>
      <c r="X58" s="1389"/>
      <c r="Y58" s="1389"/>
      <c r="Z58" s="1389"/>
      <c r="AA58" s="1389"/>
      <c r="AB58" s="1389"/>
      <c r="AC58" s="1389"/>
      <c r="AD58" s="1389"/>
      <c r="AE58" s="1389"/>
      <c r="AF58" s="1389"/>
      <c r="AG58" s="1389"/>
      <c r="AH58" s="1389"/>
      <c r="AI58" s="1389"/>
      <c r="AJ58" s="1389"/>
      <c r="AK58" s="1389"/>
      <c r="AL58" s="1389"/>
      <c r="AM58" s="1389"/>
      <c r="AN58" s="1389"/>
      <c r="AO58" s="1389"/>
      <c r="AP58" s="1389"/>
      <c r="AQ58" s="1389"/>
      <c r="AR58" s="1389"/>
      <c r="AS58" s="1389"/>
      <c r="AT58" s="1389"/>
      <c r="AU58" s="1389"/>
      <c r="AV58" s="1389"/>
      <c r="AW58" s="1389"/>
      <c r="AX58" s="1389"/>
      <c r="AY58" s="1389"/>
      <c r="AZ58" s="1389"/>
      <c r="BA58" s="1389"/>
      <c r="BB58" s="1389"/>
      <c r="BC58" s="1390"/>
      <c r="BE58" s="501"/>
      <c r="BF58" s="501" t="str">
        <f>IF(T58="","",T58)</f>
        <v/>
      </c>
      <c r="BG58" s="501"/>
      <c r="BH58" s="501"/>
      <c r="BI58" s="512">
        <v>0</v>
      </c>
    </row>
    <row s="1643" customFormat="1" customHeight="1" ht="0">
      <c r="A59" s="1344" t="s">
        <v>263</v>
      </c>
      <c r="B59" s="1344" t="s">
        <v>264</v>
      </c>
      <c r="C59" s="1344" t="s">
        <v>265</v>
      </c>
      <c r="D59" s="1344" t="s">
        <v>534</v>
      </c>
      <c r="E59" s="2260"/>
      <c r="F59" s="2260"/>
      <c r="G59" s="2260"/>
      <c r="H59" s="2259"/>
      <c r="I59" s="1344"/>
      <c r="J59" s="1344"/>
      <c r="K59" s="1344"/>
      <c r="L59" s="1347"/>
      <c r="M59" s="1316"/>
      <c r="N59" s="1316"/>
      <c r="O59" s="519"/>
      <c r="P59" s="381"/>
      <c r="Q59" s="1345"/>
      <c r="R59" s="1402"/>
      <c r="S59" s="1387"/>
      <c r="T59" s="1388"/>
      <c r="U59" s="1389"/>
      <c r="V59" s="1389"/>
      <c r="W59" s="1389"/>
      <c r="X59" s="1389"/>
      <c r="Y59" s="1389"/>
      <c r="Z59" s="1389"/>
      <c r="AA59" s="1389"/>
      <c r="AB59" s="1389"/>
      <c r="AC59" s="1389"/>
      <c r="AD59" s="1389"/>
      <c r="AE59" s="1389"/>
      <c r="AF59" s="1389"/>
      <c r="AG59" s="1389"/>
      <c r="AH59" s="1389"/>
      <c r="AI59" s="1389"/>
      <c r="AJ59" s="1389"/>
      <c r="AK59" s="1389"/>
      <c r="AL59" s="1389"/>
      <c r="AM59" s="1389"/>
      <c r="AN59" s="1389"/>
      <c r="AO59" s="1389"/>
      <c r="AP59" s="1389"/>
      <c r="AQ59" s="1389"/>
      <c r="AR59" s="1389"/>
      <c r="AS59" s="1389"/>
      <c r="AT59" s="1389"/>
      <c r="AU59" s="1389"/>
      <c r="AV59" s="1389"/>
      <c r="AW59" s="1389"/>
      <c r="AX59" s="1389"/>
      <c r="AY59" s="1389"/>
      <c r="AZ59" s="1389"/>
      <c r="BA59" s="1389"/>
      <c r="BB59" s="1389"/>
      <c r="BC59" s="1390"/>
      <c r="BE59" s="501"/>
      <c r="BF59" s="501" t="str">
        <f>IF(T59="","",T59)</f>
        <v/>
      </c>
      <c r="BG59" s="501"/>
      <c r="BH59" s="501"/>
      <c r="BI59" s="512">
        <v>0</v>
      </c>
    </row>
    <row s="1643" customFormat="1" customHeight="1" ht="0">
      <c r="A60" s="1344" t="s">
        <v>263</v>
      </c>
      <c r="B60" s="1344" t="s">
        <v>264</v>
      </c>
      <c r="C60" s="1344" t="s">
        <v>265</v>
      </c>
      <c r="D60" s="1315"/>
      <c r="E60" s="2260"/>
      <c r="F60" s="2260"/>
      <c r="G60" s="2259"/>
      <c r="H60" s="1315"/>
      <c r="I60" s="1315"/>
      <c r="J60" s="1315"/>
      <c r="K60" s="1315"/>
      <c r="L60" s="1465"/>
      <c r="M60" s="1316"/>
      <c r="N60" s="1316"/>
      <c r="P60" s="1317"/>
      <c r="Q60" s="1318"/>
      <c r="R60" s="1317"/>
      <c r="S60" s="1323"/>
      <c r="T60" s="1326"/>
      <c r="U60" s="1325"/>
      <c r="V60" s="1325"/>
      <c r="W60" s="1325"/>
      <c r="X60" s="1325"/>
      <c r="Y60" s="1325"/>
      <c r="Z60" s="1325"/>
      <c r="AA60" s="1325"/>
      <c r="AB60" s="1325"/>
      <c r="AC60" s="1325"/>
      <c r="AD60" s="1325"/>
      <c r="AE60" s="1325"/>
      <c r="AF60" s="1325"/>
      <c r="AG60" s="1325"/>
      <c r="AH60" s="1325"/>
      <c r="AI60" s="1325"/>
      <c r="AJ60" s="1325"/>
      <c r="AK60" s="1325"/>
      <c r="AL60" s="1325"/>
      <c r="AM60" s="1325"/>
      <c r="AN60" s="1325"/>
      <c r="AO60" s="1325"/>
      <c r="AP60" s="1325"/>
      <c r="AQ60" s="1325"/>
      <c r="AR60" s="1325"/>
      <c r="AS60" s="1325"/>
      <c r="AT60" s="1325"/>
      <c r="AU60" s="1325"/>
      <c r="AV60" s="1325"/>
      <c r="AW60" s="1325"/>
      <c r="AX60" s="1325"/>
      <c r="AY60" s="1325"/>
      <c r="AZ60" s="1325"/>
      <c r="BA60" s="1325"/>
      <c r="BB60" s="1325"/>
      <c r="BC60" s="1325"/>
      <c r="BE60" s="790"/>
      <c r="BF60" s="790" t="str">
        <f>IF(T60="","",T60)</f>
        <v/>
      </c>
      <c r="BG60" s="790"/>
      <c r="BH60" s="790"/>
      <c r="BI60" s="519">
        <v>0</v>
      </c>
    </row>
    <row s="1643" customFormat="1" customHeight="1" ht="0">
      <c r="A61" s="1344" t="s">
        <v>263</v>
      </c>
      <c r="B61" s="1344" t="s">
        <v>264</v>
      </c>
      <c r="C61" s="1315"/>
      <c r="D61" s="1315"/>
      <c r="E61" s="2260"/>
      <c r="F61" s="2259"/>
      <c r="G61" s="1315"/>
      <c r="H61" s="1315"/>
      <c r="I61" s="1315"/>
      <c r="J61" s="1315"/>
      <c r="K61" s="1315"/>
      <c r="L61" s="1465"/>
      <c r="M61" s="1322"/>
      <c r="N61" s="1322"/>
      <c r="P61" s="1317"/>
      <c r="Q61" s="1318"/>
      <c r="R61" s="1317"/>
      <c r="S61" s="1323"/>
      <c r="T61" s="1326" t="s">
        <v>177</v>
      </c>
      <c r="U61" s="1325"/>
      <c r="V61" s="1325"/>
      <c r="W61" s="1325"/>
      <c r="X61" s="1325"/>
      <c r="Y61" s="1325"/>
      <c r="Z61" s="1325"/>
      <c r="AA61" s="1325"/>
      <c r="AB61" s="1325"/>
      <c r="AC61" s="1325"/>
      <c r="AD61" s="1325"/>
      <c r="AE61" s="1325"/>
      <c r="AF61" s="1325"/>
      <c r="AG61" s="1325"/>
      <c r="AH61" s="1325"/>
      <c r="AI61" s="1325"/>
      <c r="AJ61" s="1325"/>
      <c r="AK61" s="1325"/>
      <c r="AL61" s="1325"/>
      <c r="AM61" s="1325"/>
      <c r="AN61" s="1325"/>
      <c r="AO61" s="1325"/>
      <c r="AP61" s="1325"/>
      <c r="AQ61" s="1325"/>
      <c r="AR61" s="1325"/>
      <c r="AS61" s="1325"/>
      <c r="AT61" s="1325"/>
      <c r="AU61" s="1325"/>
      <c r="AV61" s="1325"/>
      <c r="AW61" s="1325"/>
      <c r="AX61" s="1325"/>
      <c r="AY61" s="1325"/>
      <c r="AZ61" s="1325"/>
      <c r="BA61" s="1325"/>
      <c r="BB61" s="1325"/>
      <c r="BC61" s="1325"/>
      <c r="BE61" s="790"/>
      <c r="BF61" s="790" t="str">
        <f>IF(T61="","",T61)</f>
        <v>Добавить централизованную систему для дифференциации</v>
      </c>
      <c r="BG61" s="790"/>
      <c r="BH61" s="790"/>
      <c r="BI61" s="519">
        <v>0</v>
      </c>
    </row>
    <row s="1643" customFormat="1" customHeight="1" ht="0">
      <c r="A62" s="1344" t="s">
        <v>263</v>
      </c>
      <c r="B62" s="1344"/>
      <c r="C62" s="1344"/>
      <c r="D62" s="1344"/>
      <c r="E62" s="2259"/>
      <c r="F62" s="1344"/>
      <c r="G62" s="1344"/>
      <c r="H62" s="1344"/>
      <c r="I62" s="1344"/>
      <c r="J62" s="1344"/>
      <c r="K62" s="1344"/>
      <c r="L62" s="1347"/>
      <c r="M62" s="1322"/>
      <c r="N62" s="1322"/>
      <c r="O62" s="519"/>
      <c r="P62" s="381"/>
      <c r="Q62" s="1345"/>
      <c r="R62" s="381"/>
      <c r="S62" s="1323"/>
      <c r="T62" s="1326" t="s">
        <v>178</v>
      </c>
      <c r="U62" s="1325"/>
      <c r="V62" s="1325"/>
      <c r="W62" s="1325"/>
      <c r="X62" s="1325"/>
      <c r="Y62" s="1325"/>
      <c r="Z62" s="1325"/>
      <c r="AA62" s="1325"/>
      <c r="AB62" s="1325"/>
      <c r="AC62" s="1325"/>
      <c r="AD62" s="1325"/>
      <c r="AE62" s="1325"/>
      <c r="AF62" s="1325"/>
      <c r="AG62" s="1325"/>
      <c r="AH62" s="1325"/>
      <c r="AI62" s="1325"/>
      <c r="AJ62" s="1325"/>
      <c r="AK62" s="1325"/>
      <c r="AL62" s="1325"/>
      <c r="AM62" s="1325"/>
      <c r="AN62" s="1325"/>
      <c r="AO62" s="1325"/>
      <c r="AP62" s="1325"/>
      <c r="AQ62" s="1325"/>
      <c r="AR62" s="1325"/>
      <c r="AS62" s="1325"/>
      <c r="AT62" s="1325"/>
      <c r="AU62" s="1325"/>
      <c r="AV62" s="1325"/>
      <c r="AW62" s="1325"/>
      <c r="AX62" s="1325"/>
      <c r="AY62" s="1325"/>
      <c r="AZ62" s="1325"/>
      <c r="BA62" s="1325"/>
      <c r="BB62" s="1325"/>
      <c r="BC62" s="1325"/>
      <c r="BE62" s="501"/>
      <c r="BF62" s="501" t="str">
        <f>IF(T62="","",T62)</f>
        <v>Добавить территорию для дифференциации</v>
      </c>
      <c r="BG62" s="501"/>
      <c r="BH62" s="501"/>
      <c r="BI62" s="512">
        <v>0</v>
      </c>
    </row>
    <row s="1643" customFormat="1" customHeight="1" ht="0">
      <c r="A63" s="1315"/>
      <c r="B63" s="1315"/>
      <c r="C63" s="1315"/>
      <c r="D63" s="1315"/>
      <c r="E63" s="1344"/>
      <c r="F63" s="1315"/>
      <c r="G63" s="1315"/>
      <c r="H63" s="1315"/>
      <c r="I63" s="1315"/>
      <c r="J63" s="1315"/>
      <c r="K63" s="1315"/>
      <c r="L63" s="1465"/>
      <c r="M63" s="1322"/>
      <c r="N63" s="1322"/>
      <c r="P63" s="1317"/>
      <c r="Q63" s="1318"/>
      <c r="R63" s="1317"/>
      <c r="S63" s="1323"/>
      <c r="T63" s="1326" t="s">
        <v>184</v>
      </c>
      <c r="U63" s="1325"/>
      <c r="V63" s="1325"/>
      <c r="W63" s="1325"/>
      <c r="X63" s="1325"/>
      <c r="Y63" s="1325"/>
      <c r="Z63" s="1325"/>
      <c r="AA63" s="1325"/>
      <c r="AB63" s="1325"/>
      <c r="AC63" s="1325"/>
      <c r="AD63" s="1325"/>
      <c r="AE63" s="1325"/>
      <c r="AF63" s="1325"/>
      <c r="AG63" s="1325"/>
      <c r="AH63" s="1325"/>
      <c r="AI63" s="1325"/>
      <c r="AJ63" s="1325"/>
      <c r="AK63" s="1325"/>
      <c r="AL63" s="1325"/>
      <c r="AM63" s="1325"/>
      <c r="AN63" s="1325"/>
      <c r="AO63" s="1325"/>
      <c r="AP63" s="1325"/>
      <c r="AQ63" s="1325"/>
      <c r="AR63" s="1325"/>
      <c r="AS63" s="1325"/>
      <c r="AT63" s="1325"/>
      <c r="AU63" s="1325"/>
      <c r="AV63" s="1325"/>
      <c r="AW63" s="1325"/>
      <c r="AX63" s="1325"/>
      <c r="AY63" s="1325"/>
      <c r="AZ63" s="1325"/>
      <c r="BA63" s="1325"/>
      <c r="BB63" s="1325"/>
      <c r="BC63" s="1325"/>
      <c r="BE63" s="790"/>
      <c r="BF63" s="790" t="str">
        <f>IF(T63="","",T63)</f>
        <v>Добавить наименование тарифа</v>
      </c>
      <c r="BG63" s="790"/>
      <c r="BH63" s="790"/>
      <c r="BI63" s="519">
        <v>0</v>
      </c>
    </row>
    <row customHeight="1" ht="11.549999999999999">
      <c r="M64" s="1161"/>
      <c r="N64" s="1161"/>
      <c r="O64" s="538"/>
      <c r="P64" s="1161"/>
      <c r="Q64" s="1161"/>
      <c r="R64" s="1156"/>
      <c r="S64" s="1156"/>
      <c r="BD64" s="1156"/>
      <c r="BE64" s="1156"/>
      <c r="BF64" s="1156"/>
      <c r="BG64" s="1156"/>
      <c r="BH64" s="1156"/>
      <c r="BI64" s="1156">
        <v>11</v>
      </c>
    </row>
    <row customHeight="1" ht="19.95">
      <c r="O65" s="538"/>
      <c r="S65" s="1254"/>
      <c r="T65" s="2286"/>
      <c r="U65" s="2286"/>
      <c r="V65" s="2286"/>
      <c r="W65" s="2286"/>
      <c r="X65" s="2286"/>
      <c r="Y65" s="2286"/>
      <c r="Z65" s="2286"/>
      <c r="AA65" s="2286"/>
      <c r="AB65" s="2286"/>
      <c r="AC65" s="2286"/>
      <c r="AD65" s="2286"/>
      <c r="AE65" s="2286"/>
      <c r="AF65" s="2286"/>
      <c r="AG65" s="2286"/>
      <c r="AH65" s="2286"/>
      <c r="AI65" s="2286"/>
      <c r="AJ65" s="2286"/>
      <c r="AK65" s="2286"/>
      <c r="AL65" s="2286"/>
      <c r="AM65" s="2286"/>
      <c r="AN65" s="2286"/>
      <c r="AO65" s="2286"/>
      <c r="AP65" s="2286"/>
      <c r="AQ65" s="2286"/>
      <c r="AR65" s="2286"/>
      <c r="AS65" s="2286"/>
      <c r="AT65" s="2286"/>
      <c r="AU65" s="2286"/>
      <c r="AV65" s="2286"/>
      <c r="AW65" s="2286"/>
      <c r="AX65" s="2286"/>
      <c r="AY65" s="2286"/>
      <c r="AZ65" s="2286"/>
      <c r="BA65" s="2286"/>
      <c r="BB65" s="2286"/>
      <c r="BC65" s="2286"/>
      <c r="BI65" s="1156">
        <v>19</v>
      </c>
    </row>
    <row customHeight="1" ht="14.699999999999998">
      <c r="O66" s="538"/>
      <c r="T66" s="1450"/>
      <c r="U66" s="1450"/>
      <c r="V66" s="1450"/>
      <c r="W66" s="1450"/>
      <c r="X66" s="1450"/>
      <c r="Y66" s="1450"/>
      <c r="Z66" s="1450"/>
      <c r="AA66" s="1450"/>
      <c r="AB66" s="1450"/>
      <c r="AC66" s="1450"/>
      <c r="AD66" s="1450"/>
      <c r="AE66" s="1450"/>
      <c r="AF66" s="1450"/>
      <c r="AG66" s="1450"/>
      <c r="AH66" s="1450"/>
      <c r="AI66" s="1450"/>
      <c r="AJ66" s="1450"/>
      <c r="AK66" s="1450"/>
      <c r="AL66" s="1450"/>
      <c r="AM66" s="1450"/>
      <c r="AN66" s="1450"/>
      <c r="AO66" s="1450"/>
      <c r="AP66" s="1450"/>
      <c r="AQ66" s="1450"/>
      <c r="AR66" s="1450"/>
      <c r="AS66" s="1450"/>
      <c r="AT66" s="1450"/>
      <c r="AU66" s="1450"/>
      <c r="AV66" s="1450"/>
      <c r="AW66" s="1450"/>
      <c r="AX66" s="1450"/>
      <c r="AY66" s="1450"/>
      <c r="AZ66" s="1450"/>
      <c r="BA66" s="1450"/>
      <c r="BB66" s="1450"/>
      <c r="BC66" s="1450"/>
      <c r="BI66" s="1156">
        <v>14</v>
      </c>
    </row>
    <row customHeight="1" ht="19.95">
      <c r="O67" s="538"/>
      <c r="S67" s="1254"/>
      <c r="T67" s="2286"/>
      <c r="U67" s="2286"/>
      <c r="V67" s="2286"/>
      <c r="W67" s="2286"/>
      <c r="X67" s="2286"/>
      <c r="Y67" s="2286"/>
      <c r="Z67" s="2286"/>
      <c r="AA67" s="2286"/>
      <c r="AB67" s="2286"/>
      <c r="AC67" s="2286"/>
      <c r="AD67" s="2286"/>
      <c r="AE67" s="2286"/>
      <c r="AF67" s="2286"/>
      <c r="AG67" s="2286"/>
      <c r="AH67" s="2286"/>
      <c r="AI67" s="2286"/>
      <c r="AJ67" s="2286"/>
      <c r="AK67" s="2286"/>
      <c r="AL67" s="2286"/>
      <c r="AM67" s="2286"/>
      <c r="AN67" s="2286"/>
      <c r="AO67" s="2286"/>
      <c r="AP67" s="2286"/>
      <c r="AQ67" s="2286"/>
      <c r="AR67" s="2286"/>
      <c r="AS67" s="2286"/>
      <c r="AT67" s="2286"/>
      <c r="AU67" s="2286"/>
      <c r="AV67" s="2286"/>
      <c r="AW67" s="2286"/>
      <c r="AX67" s="2286"/>
      <c r="AY67" s="2286"/>
      <c r="AZ67" s="2286"/>
      <c r="BA67" s="2286"/>
      <c r="BB67" s="2286"/>
      <c r="BC67" s="2286"/>
      <c r="BI67" s="1156">
        <v>19</v>
      </c>
    </row>
    <row customHeight="1" ht="14.699999999999998">
      <c r="O68" s="538"/>
      <c r="BI68" s="1156">
        <v>14</v>
      </c>
    </row>
    <row customHeight="1" ht="14.25" hidden="1">
      <c r="A69" s="1161" t="s">
        <v>83</v>
      </c>
      <c r="B69" s="1161">
        <v>0</v>
      </c>
      <c r="C69" s="1161">
        <v>0</v>
      </c>
      <c r="D69" s="1161">
        <v>0</v>
      </c>
      <c r="E69" s="1161">
        <v>0</v>
      </c>
      <c r="F69" s="1161">
        <v>0</v>
      </c>
      <c r="G69" s="1161">
        <v>0</v>
      </c>
      <c r="H69" s="1161">
        <v>0</v>
      </c>
      <c r="I69" s="1161">
        <v>0</v>
      </c>
      <c r="J69" s="1161">
        <v>0</v>
      </c>
      <c r="K69" s="1161">
        <v>0</v>
      </c>
      <c r="L69" s="1462">
        <v>0</v>
      </c>
      <c r="M69" s="1363">
        <v>0</v>
      </c>
      <c r="N69" s="1363">
        <v>0</v>
      </c>
      <c r="O69" s="1363">
        <v>0</v>
      </c>
      <c r="P69" s="1363">
        <v>0</v>
      </c>
      <c r="Q69" s="1372">
        <v>0</v>
      </c>
      <c r="R69" s="345">
        <v>3</v>
      </c>
      <c r="S69" s="582">
        <v>12</v>
      </c>
      <c r="T69" s="1156">
        <v>31</v>
      </c>
      <c r="U69" s="1156">
        <v>0</v>
      </c>
      <c r="V69" s="1156">
        <v>0</v>
      </c>
      <c r="W69" s="1156">
        <v>0</v>
      </c>
      <c r="X69" s="1156">
        <v>0</v>
      </c>
      <c r="Y69" s="1156">
        <v>0</v>
      </c>
      <c r="Z69" s="1156">
        <v>0</v>
      </c>
      <c r="AA69" s="1156">
        <v>0</v>
      </c>
      <c r="AB69" s="1156">
        <v>0</v>
      </c>
      <c r="AC69" s="1156">
        <v>0</v>
      </c>
      <c r="AD69" s="1156">
        <v>3</v>
      </c>
      <c r="AE69" s="1156">
        <v>3</v>
      </c>
      <c r="AF69" s="1156">
        <v>3</v>
      </c>
      <c r="AG69" s="1156">
        <v>24</v>
      </c>
      <c r="AH69" s="1156">
        <v>3</v>
      </c>
      <c r="AI69" s="1156">
        <v>3</v>
      </c>
      <c r="AJ69" s="1156">
        <v>3</v>
      </c>
      <c r="AK69" s="1156">
        <v>24</v>
      </c>
      <c r="AL69" s="1156">
        <v>3</v>
      </c>
      <c r="AM69" s="1156">
        <v>3</v>
      </c>
      <c r="AN69" s="1156">
        <v>3</v>
      </c>
      <c r="AO69" s="1156">
        <v>18</v>
      </c>
      <c r="AP69" s="1156">
        <v>3</v>
      </c>
      <c r="AQ69" s="1156">
        <v>3</v>
      </c>
      <c r="AR69" s="1156">
        <v>3</v>
      </c>
      <c r="AS69" s="1156">
        <v>18</v>
      </c>
      <c r="AT69" s="1156">
        <v>21</v>
      </c>
      <c r="AU69" s="1156">
        <v>21</v>
      </c>
      <c r="AV69" s="1156">
        <v>21</v>
      </c>
      <c r="AW69" s="1156">
        <v>21</v>
      </c>
      <c r="AX69" s="1156">
        <v>11</v>
      </c>
      <c r="AY69" s="1156">
        <v>3</v>
      </c>
      <c r="AZ69" s="1156">
        <v>11</v>
      </c>
      <c r="BA69" s="1156">
        <v>0</v>
      </c>
      <c r="BB69" s="1156">
        <v>4</v>
      </c>
      <c r="BC69" s="1156">
        <v>115</v>
      </c>
      <c r="BD69" s="512">
        <v>10</v>
      </c>
      <c r="BE69" s="512">
        <v>10</v>
      </c>
      <c r="BF69" s="512">
        <v>10</v>
      </c>
      <c r="BG69" s="512">
        <v>10</v>
      </c>
      <c r="BH69" s="512">
        <v>10</v>
      </c>
      <c r="BI69" s="1156">
        <v>23</v>
      </c>
    </row>
  </sheetData>
  <sheetProtection formatColumns="0" formatRows="0" autoFilter="0" sort="0" insertRows="0" insertColumns="1" deleteRows="0" deleteColumns="0"/>
  <mergeCells count="122">
    <mergeCell ref="T67:BC67"/>
    <mergeCell ref="AK52:AK54"/>
    <mergeCell ref="AL52:AL54"/>
    <mergeCell ref="AE52:AE55"/>
    <mergeCell ref="AF52:AF55"/>
    <mergeCell ref="AG52:AG55"/>
    <mergeCell ref="AH52:AH55"/>
    <mergeCell ref="AI52:AI54"/>
    <mergeCell ref="AJ52:AJ54"/>
    <mergeCell ref="BC52:BC57"/>
    <mergeCell ref="T52:T56"/>
    <mergeCell ref="T65:BC65"/>
    <mergeCell ref="E46:E62"/>
    <mergeCell ref="V46:AC46"/>
    <mergeCell ref="AD46:BB46"/>
    <mergeCell ref="F47:F61"/>
    <mergeCell ref="V47:AC47"/>
    <mergeCell ref="AM52:AM53"/>
    <mergeCell ref="AN52:AN53"/>
    <mergeCell ref="AO52:AO53"/>
    <mergeCell ref="AP52:AP53"/>
    <mergeCell ref="AD52:AD56"/>
    <mergeCell ref="G48:G60"/>
    <mergeCell ref="V48:AC48"/>
    <mergeCell ref="AD48:BB48"/>
    <mergeCell ref="H49:H59"/>
    <mergeCell ref="V49:AC49"/>
    <mergeCell ref="AD49:BB49"/>
    <mergeCell ref="AD47:BB47"/>
    <mergeCell ref="I50:I58"/>
    <mergeCell ref="P50:P58"/>
    <mergeCell ref="V50:AC50"/>
    <mergeCell ref="J51:J57"/>
    <mergeCell ref="Q51:Q57"/>
    <mergeCell ref="V51:AC51"/>
    <mergeCell ref="AD51:BB51"/>
    <mergeCell ref="BC40:BC44"/>
    <mergeCell ref="S41:S44"/>
    <mergeCell ref="T41:T44"/>
    <mergeCell ref="AC41:AC44"/>
    <mergeCell ref="AD41:AG44"/>
    <mergeCell ref="AH41:AK44"/>
    <mergeCell ref="X42:Y43"/>
    <mergeCell ref="V41:AB41"/>
    <mergeCell ref="AP41:AS44"/>
    <mergeCell ref="AT41:AZ41"/>
    <mergeCell ref="AT42:AU43"/>
    <mergeCell ref="AV42:AW43"/>
    <mergeCell ref="AX42:AZ43"/>
    <mergeCell ref="AA44:AB44"/>
    <mergeCell ref="AY44:AZ44"/>
    <mergeCell ref="AL41:AO44"/>
    <mergeCell ref="BA41:BA44"/>
    <mergeCell ref="BB41:BB44"/>
    <mergeCell ref="V42:W43"/>
    <mergeCell ref="Z42:AB43"/>
    <mergeCell ref="K52:K56"/>
    <mergeCell ref="S52:S56"/>
    <mergeCell ref="S32:T32"/>
    <mergeCell ref="V32:AB32"/>
    <mergeCell ref="AD32:AZ32"/>
    <mergeCell ref="S36:T36"/>
    <mergeCell ref="V36:AB36"/>
    <mergeCell ref="AD36:AZ36"/>
    <mergeCell ref="S37:T37"/>
    <mergeCell ref="V37:AB37"/>
    <mergeCell ref="AD37:AZ37"/>
    <mergeCell ref="S33:T33"/>
    <mergeCell ref="V33:AB33"/>
    <mergeCell ref="AD33:AZ33"/>
    <mergeCell ref="S34:T34"/>
    <mergeCell ref="V34:AB34"/>
    <mergeCell ref="AD34:AZ34"/>
    <mergeCell ref="V39:AC39"/>
    <mergeCell ref="AD39:BA39"/>
    <mergeCell ref="S40:BB40"/>
    <mergeCell ref="AA45:AB45"/>
    <mergeCell ref="AY45:AZ45"/>
    <mergeCell ref="AD50:BB50"/>
    <mergeCell ref="S29:AZ29"/>
    <mergeCell ref="BC8:BC13"/>
    <mergeCell ref="AK8:AK10"/>
    <mergeCell ref="AL8:AL10"/>
    <mergeCell ref="AE8:AE11"/>
    <mergeCell ref="AF8:AF11"/>
    <mergeCell ref="AG8:AG11"/>
    <mergeCell ref="S31:T31"/>
    <mergeCell ref="V31:AB31"/>
    <mergeCell ref="AD31:AZ31"/>
    <mergeCell ref="AD7:BB7"/>
    <mergeCell ref="K8:K12"/>
    <mergeCell ref="R8:R12"/>
    <mergeCell ref="S8:S12"/>
    <mergeCell ref="T8:T12"/>
    <mergeCell ref="AH8:AH11"/>
    <mergeCell ref="AI8:AI10"/>
    <mergeCell ref="AJ8:AJ10"/>
    <mergeCell ref="S28:AZ28"/>
    <mergeCell ref="E2:E18"/>
    <mergeCell ref="V2:AC2"/>
    <mergeCell ref="AD2:BB2"/>
    <mergeCell ref="F3:F17"/>
    <mergeCell ref="V3:AC3"/>
    <mergeCell ref="AD3:BB3"/>
    <mergeCell ref="G4:G16"/>
    <mergeCell ref="V4:AC4"/>
    <mergeCell ref="AD4:BB4"/>
    <mergeCell ref="H5:H15"/>
    <mergeCell ref="AM8:AM9"/>
    <mergeCell ref="AN8:AN9"/>
    <mergeCell ref="AO8:AO9"/>
    <mergeCell ref="AP8:AP9"/>
    <mergeCell ref="AD8:AD12"/>
    <mergeCell ref="V5:AC5"/>
    <mergeCell ref="AD5:BB5"/>
    <mergeCell ref="I6:I14"/>
    <mergeCell ref="P6:P14"/>
    <mergeCell ref="V6:AC6"/>
    <mergeCell ref="AD6:BB6"/>
    <mergeCell ref="J7:J13"/>
    <mergeCell ref="Q7:Q13"/>
    <mergeCell ref="V7:AC7"/>
  </mergeCells>
  <dataValidations count="9">
    <dataValidation allowBlank="1" sqref="S65591:BC65597 S983095:BC983101 S917559:BC917565 S852023:BC852029 S786487:BC786493 S720951:BC720957 S655415:BC655421 S589879:BC589885 S524343:BC524349 S458807:BC458813 S393271:BC393277 S327735:BC327741 S262199:BC262205 S196663:BC196669 S131127:BC131133"/>
    <dataValidation type="list" allowBlank="1" showInputMessage="1" errorTitle="Ошибка" error="Выберите значение из списка" prompt="Выберите значение из списка" sqref="V983092:BB983092 V917556:BB917556 V852020:BB852020 V786484:BB786484 V720948:BB720948 V655412:BB655412 V589876:BB589876 V524340:BB524340 V458804:BB458804 V393268:BB393268 V327732:BB327732 V262196:BB262196 V196660:BB196660 V131124:BB131124 V65588:BB65588">
      <formula1>kind_of_cons</formula1>
    </dataValidation>
    <dataValidation type="decimal" allowBlank="1" showErrorMessage="1" errorTitle="Ошибка" error="Допускается ввод только действительных чисел!" sqref="AO52:AO53 AG8:AG11 AO8:AO9 AG52:AG55">
      <formula1>-9.99999999999999E+23</formula1>
      <formula2>9.99999999999999E+23</formula2>
    </dataValidation>
    <dataValidation allowBlank="1" showInputMessage="1" showErrorMessage="1" prompt="Для выбора выполните двойной щелчок левой клавиши мыши по соответствующей ячейке." sqref="AA65589 AA131125 AA196661 AA262197 AA327733 AA393269 AA458805 AA524341 AA589877 AA655413 AA720949 AA786485 AA852021 AA917557 AA983093 AC131125 AC458805 AC196661 AC262197 AC327733 AC393269 AC524341 AC589877 AC655413 AC720949 AC786485 AC852021 AC917557 AC983093 AC65589 AH52:AH53 AY8 AP52 AK52:AL53 AA8 AY65589 AY131125 AY196661 AY262197 AY327733 AY393269 AY458805 AY524341 AY589877 AY655413 AY720949 AY786485 AY852021 AY917557 AY983093 BA458805 BA196661 BA262197 BA327733 BA393269 BA524341 BA589877 BA655413 BA720949 BA786485 BA852021 BA917557 BA983093 BA65589 BA52 AC8:AD8 BA20 BA8 AY52 AK8:AL9 AD20 AG20:AH20 AK20:AL20 AP20 AY20 AH8:AH9 AP8 BA131125 AC52:AD52 AA52"/>
    <dataValidation type="textLength" operator="lessThanOrEqual" allowBlank="1" showInputMessage="1" showErrorMessage="1" errorTitle="Ошибка" error="Допускается ввод не более 900 символов!" sqref="BC65583:BC65590 BC131119:BC131126 BC196655:BC196662 BC262191:BC262198 BC327727:BC327734 BC393263:BC393270 BC458799:BC458806 BC524335:BC524342 BC589871:BC589878 BC655407:BC655414 BC720943:BC720950 BC786479:BC786486 BC852015:BC852022 BC917551:BC917558 BC983087:BC983094 AS8 T8:T12 AS52 T52:T56">
      <formula1>900</formula1>
    </dataValidation>
    <dataValidation allowBlank="1" promptTitle="checkPeriodRange" sqref="W131126 W196662 W262198 W327734 W393270 W458806 W524342 W589878 W655414 W720950 W786486 W852022 W917558 W983094 AW56 AU12 BB12 AW65590 AW131126 AW196662 AW262198 AW327734 AW393270 AW458806 AW524342 AW589878 AW655414 AW720950 AW786486 AW852022 AW917558 AW983094 Y65590 Y56 W65590 Y131126 Y196662 Y262198 Y327734 Y393270 Y458806 Y524342 Y589878 Y655414 Y720950 Y786486 Y852022 Y917558 Y983094 AU56 Y12 BB56 W12 AW12 W56"/>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9 Z131125 Z196661 Z262197 Z327733 Z393269 Z458805 Z524341 Z589877 Z655413 Z720949 Z786485 Z852021 Z917557 Z983093 AB65589 AB131125 AB196661 AB262197 AB327733 AB393269 AB458805 AB524341 AB589877 AB655413 AB720949 AB786485 AB852021 AB917557 AB983093 Z8 AB8 AX65589 AX131125 AX196661 AX262197 AX327733 AX393269 AX458805 AX524341 AX589877 AX655413 AX720949 AX786485 AX852021 AX917557 AX983093 AZ65589 AZ131125 AZ196661 AZ262197 AZ327733 AZ393269 AZ458805 AZ524341 AZ589877 AZ655413 AZ720949 AZ786485 AZ852021 AZ917557 AZ983093 AX52 AX20 AZ8 AZ52 AX8 AZ20 Z52 AB52"/>
    <dataValidation type="list" allowBlank="1" showInputMessage="1" showErrorMessage="1" errorTitle="Ошибка" error="Выберите значение из списка" sqref="AD917555:AS917555 AD983091:AS983091 AD65587:AS65587 AD131123:AS131123 AD196659:AS196659 AD262195:AS262195 AD327731:AS327731 AD393267:AS393267 AD458803:AS458803 AD524339:AS524339 AD589875:AS589875 AD655411:AS655411 AD720947:AS720947 AD786483:AS786483 AD852019:AS852019">
      <formula1>kind_of_scheme_in</formula1>
    </dataValidation>
    <dataValidation type="list" allowBlank="1" showInputMessage="1" showErrorMessage="1" errorTitle="Ошибка" error="Выберите значение из списка" sqref="T65589 T131125 T196661 T262197 T327733 T393269 T458805 T524341 T589877 T655413 T720949 T786485 T852021 T917557 T983093">
      <formula1>kind_of_heat_transfer</formula1>
    </dataValidation>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0041EC97-8B68-2AC8-8D33-D46035D744F6}" mc:Ignorable="x14ac xr xr2 xr3">
  <sheetPr>
    <tabColor theme="6" tint="0.4"/>
  </sheetPr>
  <dimension ref="A1:AQ58"/>
  <sheetViews>
    <sheetView showGridLines="0" zoomScale="90" workbookViewId="0">
      <pane xSplit="28" ySplit="40" topLeftCell="AC41" activePane="bottomRight" state="frozen"/>
      <selection pane="bottomLeft" activeCell="A41" sqref="A41"/>
      <selection pane="topRight" activeCell="AC1" sqref="AC1"/>
      <selection pane="bottomRight" activeCell="A1" sqref="A1"/>
    </sheetView>
  </sheetViews>
  <sheetFormatPr defaultColWidth="10.57421875" customHeight="1" defaultRowHeight="14.25"/>
  <cols>
    <col min="1" max="1" style="1367" width="10.57421875" hidden="1"/>
    <col min="2" max="2" style="1367" width="11.00390625" hidden="1" customWidth="1"/>
    <col min="3" max="3" style="1367" width="10.57421875" hidden="1"/>
    <col min="4" max="4" style="1367" width="11.8515625" hidden="1" customWidth="1"/>
    <col min="5" max="5" style="1367" width="10.00390625" hidden="1" customWidth="1"/>
    <col min="6" max="6" style="1367" width="8.7109375" hidden="1" customWidth="1"/>
    <col min="7" max="7" style="1367" width="7.57421875" hidden="1" customWidth="1"/>
    <col min="8" max="8" style="1367" width="11.421875" hidden="1" customWidth="1"/>
    <col min="9" max="9" style="1367" width="14.140625" hidden="1" customWidth="1"/>
    <col min="10" max="10" style="1367" width="9.8515625" hidden="1" customWidth="1"/>
    <col min="11" max="11" style="1367" width="14.7109375" hidden="1" customWidth="1"/>
    <col min="12" max="12" style="2608" width="19.140625" hidden="1" customWidth="1"/>
    <col min="13" max="14" style="1777" width="12.28125" hidden="1" customWidth="1"/>
    <col min="15" max="15" style="1777" width="23.421875" hidden="1" customWidth="1"/>
    <col min="16" max="16" style="2398" width="3.00390625" customWidth="1"/>
    <col min="17" max="18" style="345" width="3.00390625" customWidth="1"/>
    <col min="19" max="19" style="2408" width="12.00390625" customWidth="1"/>
    <col min="20" max="20" style="1636" width="35.00390625" customWidth="1"/>
    <col min="21" max="21" style="1636" width="0.140625" customWidth="1"/>
    <col min="22" max="24" style="1636" width="24.7109375" hidden="1" customWidth="1"/>
    <col min="25" max="25" style="1636" width="11.7109375" hidden="1" customWidth="1"/>
    <col min="26" max="26" style="1636" width="3.7109375" hidden="1" customWidth="1"/>
    <col min="27" max="27" style="1636" width="11.7109375" hidden="1" customWidth="1"/>
    <col min="28" max="28" style="1636" width="8.57421875" hidden="1" customWidth="1"/>
    <col min="29" max="29" style="1636" width="24.7109375" customWidth="1"/>
    <col min="30" max="31" style="1636" width="24.00390625" customWidth="1"/>
    <col min="32" max="32" style="1636" width="11.00390625" customWidth="1"/>
    <col min="33" max="33" style="1636" width="3.7109375" customWidth="1"/>
    <col min="34" max="34" style="1636" width="11.00390625" customWidth="1"/>
    <col min="35" max="35" style="1636" width="8.57421875" hidden="1" customWidth="1"/>
    <col min="36" max="36" style="1636" width="4.00390625" customWidth="1"/>
    <col min="37" max="37" style="1636" width="115.00390625" customWidth="1"/>
    <col min="38" max="42" style="1643" width="10.00390625" customWidth="1"/>
    <col min="43" max="43" style="1636" width="10.57421875" hidden="1"/>
  </cols>
  <sheetData>
    <row customHeight="1" ht="22.5" hidden="1">
      <c r="X1" s="328"/>
      <c r="Y1" s="328"/>
      <c r="AE1" s="328"/>
      <c r="AF1" s="328"/>
      <c r="AQ1" s="1156" t="s">
        <v>14</v>
      </c>
    </row>
    <row customHeight="1" ht="23.25" hidden="1">
      <c r="A2" s="1364"/>
      <c r="B2" s="1364"/>
      <c r="C2" s="1364"/>
      <c r="D2" s="1364"/>
      <c r="E2" s="2259">
        <v>1</v>
      </c>
      <c r="F2" s="1364"/>
      <c r="G2" s="1364"/>
      <c r="H2" s="1364"/>
      <c r="I2" s="1364"/>
      <c r="J2" s="1364"/>
      <c r="K2" s="1364"/>
      <c r="L2" s="1365"/>
      <c r="M2" s="1366"/>
      <c r="N2" s="1366"/>
      <c r="O2" s="1366"/>
      <c r="P2" s="362"/>
      <c r="Q2" s="361"/>
      <c r="R2" s="356"/>
      <c r="S2" s="1494">
        <f>INDEX(PT_DIFFERENTIATION_NUM_NTAR,MATCH(A2,PT_DIFFERENTIATION_NTAR_ID,0))</f>
      </c>
      <c r="T2" s="299" t="s">
        <v>131</v>
      </c>
      <c r="U2" s="301"/>
      <c r="V2" s="2243"/>
      <c r="W2" s="2244"/>
      <c r="X2" s="2244"/>
      <c r="Y2" s="2244"/>
      <c r="Z2" s="2244"/>
      <c r="AA2" s="2244"/>
      <c r="AB2" s="2245"/>
      <c r="AC2" s="2243">
        <f>INDEX(PT_DIFFERENTIATION_NTAR,MATCH(A2,PT_DIFFERENTIATION_NTAR_ID,0))</f>
      </c>
      <c r="AD2" s="2244"/>
      <c r="AE2" s="2244"/>
      <c r="AF2" s="2244"/>
      <c r="AG2" s="2244"/>
      <c r="AH2" s="2244"/>
      <c r="AI2" s="2244"/>
      <c r="AJ2" s="2245"/>
      <c r="AK2" s="1259"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M2" s="501"/>
      <c r="AN2" s="501" t="str">
        <f>IF(T2="","",T2)</f>
        <v>Наименование тарифа</v>
      </c>
      <c r="AO2" s="501"/>
      <c r="AP2" s="501"/>
      <c r="AQ2" s="1156">
        <v>0</v>
      </c>
    </row>
    <row customHeight="1" ht="23.25" hidden="1">
      <c r="A3" s="1364"/>
      <c r="B3" s="1364"/>
      <c r="C3" s="1364"/>
      <c r="D3" s="1364"/>
      <c r="E3" s="2260"/>
      <c r="F3" s="2259">
        <v>1</v>
      </c>
      <c r="G3" s="1364"/>
      <c r="H3" s="1364"/>
      <c r="I3" s="1364"/>
      <c r="J3" s="1364"/>
      <c r="K3" s="1364"/>
      <c r="L3" s="1365"/>
      <c r="M3" s="1366"/>
      <c r="N3" s="1366"/>
      <c r="O3" s="1366"/>
      <c r="P3" s="1488"/>
      <c r="Q3" s="353"/>
      <c r="R3" s="354"/>
      <c r="S3" s="1494">
        <f>INDEX(PT_DIFFERENTIATION_NUM_TER,MATCH(B3,PT_DIFFERENTIATION_TER_ID,0))</f>
      </c>
      <c r="T3" s="309" t="s">
        <v>414</v>
      </c>
      <c r="U3" s="301"/>
      <c r="V3" s="2243"/>
      <c r="W3" s="2244"/>
      <c r="X3" s="2244"/>
      <c r="Y3" s="2244"/>
      <c r="Z3" s="2244"/>
      <c r="AA3" s="2244"/>
      <c r="AB3" s="2245"/>
      <c r="AC3" s="2243">
        <f>INDEX(PT_DIFFERENTIATION_TER,MATCH(B3,PT_DIFFERENTIATION_TER_ID,0))</f>
      </c>
      <c r="AD3" s="2244"/>
      <c r="AE3" s="2244"/>
      <c r="AF3" s="2244"/>
      <c r="AG3" s="2244"/>
      <c r="AH3" s="2244"/>
      <c r="AI3" s="2244"/>
      <c r="AJ3" s="2245"/>
      <c r="AK3" s="1259" t="s">
        <v>415</v>
      </c>
      <c r="AM3" s="501"/>
      <c r="AN3" s="501" t="str">
        <f>IF(T3="","",T3)</f>
        <v>Территория действия тарифа</v>
      </c>
      <c r="AO3" s="501"/>
      <c r="AP3" s="501"/>
      <c r="AQ3" s="1156">
        <v>0</v>
      </c>
    </row>
    <row customHeight="1" ht="23.25" hidden="1">
      <c r="A4" s="1364"/>
      <c r="B4" s="1364"/>
      <c r="C4" s="1364"/>
      <c r="D4" s="1364"/>
      <c r="E4" s="2260"/>
      <c r="F4" s="2260"/>
      <c r="G4" s="2259">
        <v>1</v>
      </c>
      <c r="H4" s="1364"/>
      <c r="I4" s="1364"/>
      <c r="J4" s="1364"/>
      <c r="K4" s="1364"/>
      <c r="L4" s="1365"/>
      <c r="M4" s="1366"/>
      <c r="N4" s="1366"/>
      <c r="O4" s="1366"/>
      <c r="P4" s="355"/>
      <c r="Q4" s="353"/>
      <c r="R4" s="354"/>
      <c r="S4" s="1494">
        <f>INDEX(PT_DIFFERENTIATION_NUM_CS,MATCH(C4,PT_DIFFERENTIATION_CS_ID,0))</f>
      </c>
      <c r="T4" s="310" t="s">
        <v>535</v>
      </c>
      <c r="U4" s="301"/>
      <c r="V4" s="2243"/>
      <c r="W4" s="2244"/>
      <c r="X4" s="2244"/>
      <c r="Y4" s="2244"/>
      <c r="Z4" s="2244"/>
      <c r="AA4" s="2244"/>
      <c r="AB4" s="2245"/>
      <c r="AC4" s="2243">
        <f>INDEX(PT_DIFFERENTIATION_CS,MATCH(C4,PT_DIFFERENTIATION_CS_ID,0))</f>
      </c>
      <c r="AD4" s="2244"/>
      <c r="AE4" s="2244"/>
      <c r="AF4" s="2244"/>
      <c r="AG4" s="2244"/>
      <c r="AH4" s="2244"/>
      <c r="AI4" s="2244"/>
      <c r="AJ4" s="2245"/>
      <c r="AK4" s="1259" t="s">
        <v>536</v>
      </c>
      <c r="AM4" s="501"/>
      <c r="AN4" s="501" t="str">
        <f>IF(T4="","",T4)</f>
        <v>Наименование централизованной системы водоотведения</v>
      </c>
      <c r="AO4" s="501"/>
      <c r="AP4" s="501"/>
      <c r="AQ4" s="1156">
        <v>0</v>
      </c>
    </row>
    <row customHeight="1" ht="23.25" hidden="1">
      <c r="A5" s="1364"/>
      <c r="B5" s="1364"/>
      <c r="C5" s="1364"/>
      <c r="D5" s="1364"/>
      <c r="E5" s="2260"/>
      <c r="F5" s="2260"/>
      <c r="G5" s="2260"/>
      <c r="H5" s="2260"/>
      <c r="I5" s="2257">
        <f>S4&amp;".1"</f>
      </c>
      <c r="J5" s="1364"/>
      <c r="K5" s="1364"/>
      <c r="L5" s="1365"/>
      <c r="P5" s="2258">
        <v>1</v>
      </c>
      <c r="Q5" s="1482"/>
      <c r="R5" s="357"/>
      <c r="S5" s="1494">
        <f>$I5</f>
      </c>
      <c r="T5" s="286" t="s">
        <v>502</v>
      </c>
      <c r="U5" s="301"/>
      <c r="V5" s="2351"/>
      <c r="W5" s="2352"/>
      <c r="X5" s="2352"/>
      <c r="Y5" s="2352"/>
      <c r="Z5" s="2352"/>
      <c r="AA5" s="2352"/>
      <c r="AB5" s="2353"/>
      <c r="AC5" s="2354"/>
      <c r="AD5" s="2355"/>
      <c r="AE5" s="2355"/>
      <c r="AF5" s="2355"/>
      <c r="AG5" s="2355"/>
      <c r="AH5" s="2355"/>
      <c r="AI5" s="2355"/>
      <c r="AJ5" s="2356"/>
      <c r="AK5" s="1259" t="s">
        <v>503</v>
      </c>
      <c r="AM5" s="501"/>
      <c r="AN5" s="501" t="str">
        <f>IF(T5="","",T5)</f>
        <v>Наименование признака дифференциации</v>
      </c>
      <c r="AO5" s="501"/>
      <c r="AP5" s="501"/>
      <c r="AQ5" s="1156">
        <v>0</v>
      </c>
    </row>
    <row customHeight="1" ht="23.25" hidden="1">
      <c r="A6" s="1364"/>
      <c r="B6" s="1364"/>
      <c r="C6" s="1364"/>
      <c r="D6" s="1364"/>
      <c r="E6" s="2260"/>
      <c r="F6" s="2260"/>
      <c r="G6" s="2260"/>
      <c r="H6" s="2260"/>
      <c r="I6" s="2287"/>
      <c r="J6" s="2257">
        <f>I5&amp;".1"</f>
      </c>
      <c r="K6" s="1364"/>
      <c r="L6" s="1365" t="s">
        <v>423</v>
      </c>
      <c r="P6" s="2258"/>
      <c r="Q6" s="2258">
        <v>1</v>
      </c>
      <c r="R6" s="358"/>
      <c r="S6" s="1494">
        <f>$J6</f>
      </c>
      <c r="T6" s="287" t="s">
        <v>424</v>
      </c>
      <c r="U6" s="301"/>
      <c r="V6" s="2246"/>
      <c r="W6" s="2247"/>
      <c r="X6" s="2247"/>
      <c r="Y6" s="2247"/>
      <c r="Z6" s="2247"/>
      <c r="AA6" s="2247"/>
      <c r="AB6" s="2248"/>
      <c r="AC6" s="2246"/>
      <c r="AD6" s="2247"/>
      <c r="AE6" s="2247"/>
      <c r="AF6" s="2247"/>
      <c r="AG6" s="2247"/>
      <c r="AH6" s="2247"/>
      <c r="AI6" s="2247"/>
      <c r="AJ6" s="2248"/>
      <c r="AK6" s="1308" t="s">
        <v>504</v>
      </c>
      <c r="AM6" s="501"/>
      <c r="AN6" s="501" t="str">
        <f>IF(T6="","",T6)</f>
        <v>Группа потребителей</v>
      </c>
      <c r="AO6" s="501"/>
      <c r="AP6" s="501"/>
      <c r="AQ6" s="1156">
        <v>0</v>
      </c>
    </row>
    <row customHeight="1" ht="23.25" hidden="1">
      <c r="A7" s="1364"/>
      <c r="B7" s="1364"/>
      <c r="C7" s="1364"/>
      <c r="D7" s="1364"/>
      <c r="E7" s="2260"/>
      <c r="F7" s="2260"/>
      <c r="G7" s="2260"/>
      <c r="H7" s="2260"/>
      <c r="I7" s="2287"/>
      <c r="J7" s="2287"/>
      <c r="K7" s="2257">
        <f>J6&amp;".1"</f>
      </c>
      <c r="L7" s="1365"/>
      <c r="P7" s="2258"/>
      <c r="Q7" s="2258"/>
      <c r="R7" s="358">
        <v>1</v>
      </c>
      <c r="S7" s="1494">
        <f>$K7</f>
      </c>
      <c r="T7" s="1438"/>
      <c r="U7" s="301"/>
      <c r="V7" s="752"/>
      <c r="W7" s="752"/>
      <c r="X7" s="1258"/>
      <c r="Y7" s="2266"/>
      <c r="Z7" s="2108" t="s">
        <v>61</v>
      </c>
      <c r="AA7" s="2266"/>
      <c r="AB7" s="2108" t="s">
        <v>61</v>
      </c>
      <c r="AC7" s="752"/>
      <c r="AD7" s="752"/>
      <c r="AE7" s="1258"/>
      <c r="AF7" s="2266"/>
      <c r="AG7" s="2108" t="s">
        <v>61</v>
      </c>
      <c r="AH7" s="2288"/>
      <c r="AI7" s="2108" t="s">
        <v>61</v>
      </c>
      <c r="AJ7" s="1439"/>
      <c r="AK7" s="2350"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7" s="512">
        <f>STRCHECKDATE(V8:AJ8)</f>
      </c>
      <c r="AM7" s="501"/>
      <c r="AN7" s="501" t="str">
        <f>IF(T7="","",T7)</f>
        <v/>
      </c>
      <c r="AO7" s="501"/>
      <c r="AP7" s="501"/>
      <c r="AQ7" s="1156">
        <v>0</v>
      </c>
    </row>
    <row customHeight="1" ht="14.25" hidden="1">
      <c r="A8" s="1364"/>
      <c r="B8" s="1364"/>
      <c r="C8" s="1364"/>
      <c r="D8" s="1364"/>
      <c r="E8" s="2260"/>
      <c r="F8" s="2260"/>
      <c r="G8" s="2260"/>
      <c r="H8" s="2260"/>
      <c r="I8" s="2287"/>
      <c r="J8" s="2287"/>
      <c r="K8" s="2257"/>
      <c r="L8" s="1365"/>
      <c r="P8" s="2258"/>
      <c r="Q8" s="2258"/>
      <c r="R8" s="358"/>
      <c r="S8" s="1491"/>
      <c r="T8" s="301"/>
      <c r="U8" s="301"/>
      <c r="V8" s="326"/>
      <c r="W8" s="326"/>
      <c r="X8" s="329" t="str">
        <f>Y7&amp;"-"&amp;AA7</f>
        <v>-</v>
      </c>
      <c r="Y8" s="2267"/>
      <c r="Z8" s="2108"/>
      <c r="AA8" s="2267"/>
      <c r="AB8" s="2108"/>
      <c r="AC8" s="326"/>
      <c r="AD8" s="326"/>
      <c r="AE8" s="329" t="str">
        <f>AF7&amp;"-"&amp;AH7</f>
        <v>-</v>
      </c>
      <c r="AF8" s="2267"/>
      <c r="AG8" s="2108"/>
      <c r="AH8" s="2289"/>
      <c r="AI8" s="2108"/>
      <c r="AJ8" s="1440"/>
      <c r="AK8" s="2350"/>
      <c r="AM8" s="501"/>
      <c r="AN8" s="501" t="str">
        <f>IF(T8="","",T8)</f>
        <v/>
      </c>
      <c r="AO8" s="501"/>
      <c r="AP8" s="501"/>
      <c r="AQ8" s="1156">
        <v>0</v>
      </c>
    </row>
    <row customHeight="1" ht="21" hidden="1">
      <c r="A9" s="1364"/>
      <c r="B9" s="1364"/>
      <c r="C9" s="1364"/>
      <c r="D9" s="1364"/>
      <c r="E9" s="2260"/>
      <c r="F9" s="2260"/>
      <c r="G9" s="2260"/>
      <c r="H9" s="2260"/>
      <c r="I9" s="2287"/>
      <c r="J9" s="2257"/>
      <c r="K9" s="1364"/>
      <c r="L9" s="1365"/>
      <c r="P9" s="2258"/>
      <c r="Q9" s="2258"/>
      <c r="R9" s="357"/>
      <c r="S9" s="1279"/>
      <c r="T9" s="288" t="s">
        <v>505</v>
      </c>
      <c r="U9" s="368"/>
      <c r="V9" s="368"/>
      <c r="W9" s="368"/>
      <c r="X9" s="368"/>
      <c r="Y9" s="368"/>
      <c r="Z9" s="368"/>
      <c r="AA9" s="368"/>
      <c r="AB9" s="368"/>
      <c r="AC9" s="368"/>
      <c r="AD9" s="368"/>
      <c r="AE9" s="368"/>
      <c r="AF9" s="368"/>
      <c r="AG9" s="368"/>
      <c r="AH9" s="368"/>
      <c r="AI9" s="368"/>
      <c r="AJ9" s="368"/>
      <c r="AK9" s="1259" t="s">
        <v>506</v>
      </c>
      <c r="AM9" s="501"/>
      <c r="AN9" s="501" t="str">
        <f>IF(T9="","",T9)</f>
        <v>Добавить значение признака дифференциации</v>
      </c>
      <c r="AO9" s="501"/>
      <c r="AP9" s="501"/>
      <c r="AQ9" s="1156">
        <v>0</v>
      </c>
    </row>
    <row customHeight="1" ht="21" hidden="1">
      <c r="A10" s="1364"/>
      <c r="B10" s="1364"/>
      <c r="C10" s="1364"/>
      <c r="D10" s="1364"/>
      <c r="E10" s="2260"/>
      <c r="F10" s="2260"/>
      <c r="G10" s="2260"/>
      <c r="H10" s="2260"/>
      <c r="I10" s="2257"/>
      <c r="J10" s="1364"/>
      <c r="K10" s="1364"/>
      <c r="L10" s="1365"/>
      <c r="P10" s="2258"/>
      <c r="Q10" s="1482"/>
      <c r="R10" s="357"/>
      <c r="S10" s="1279"/>
      <c r="T10" s="366" t="s">
        <v>429</v>
      </c>
      <c r="U10" s="368"/>
      <c r="V10" s="368"/>
      <c r="W10" s="368"/>
      <c r="X10" s="368"/>
      <c r="Y10" s="368"/>
      <c r="Z10" s="368"/>
      <c r="AA10" s="368"/>
      <c r="AB10" s="367"/>
      <c r="AC10" s="368"/>
      <c r="AD10" s="368"/>
      <c r="AE10" s="368"/>
      <c r="AF10" s="368"/>
      <c r="AG10" s="368"/>
      <c r="AH10" s="368"/>
      <c r="AI10" s="367"/>
      <c r="AJ10" s="368"/>
      <c r="AK10" s="1441"/>
      <c r="AM10" s="501"/>
      <c r="AN10" s="501" t="str">
        <f>IF(T10="","",T10)</f>
        <v>Добавить группу потребителей</v>
      </c>
      <c r="AO10" s="501"/>
      <c r="AP10" s="501"/>
      <c r="AQ10" s="1156">
        <v>0</v>
      </c>
    </row>
    <row customHeight="1" ht="21" hidden="1">
      <c r="A11" s="1364"/>
      <c r="B11" s="1364"/>
      <c r="C11" s="1364"/>
      <c r="D11" s="1364"/>
      <c r="E11" s="2260"/>
      <c r="F11" s="2260"/>
      <c r="G11" s="2260"/>
      <c r="H11" s="2259"/>
      <c r="I11" s="1364"/>
      <c r="J11" s="1364"/>
      <c r="K11" s="1364"/>
      <c r="L11" s="1365"/>
      <c r="M11" s="1366"/>
      <c r="N11" s="1366"/>
      <c r="O11" s="538"/>
      <c r="P11" s="361"/>
      <c r="Q11" s="376"/>
      <c r="R11" s="356"/>
      <c r="S11" s="1279"/>
      <c r="T11" s="373" t="s">
        <v>507</v>
      </c>
      <c r="U11" s="368"/>
      <c r="V11" s="368"/>
      <c r="W11" s="368"/>
      <c r="X11" s="368"/>
      <c r="Y11" s="368"/>
      <c r="Z11" s="368"/>
      <c r="AA11" s="368"/>
      <c r="AB11" s="367"/>
      <c r="AC11" s="368"/>
      <c r="AD11" s="368"/>
      <c r="AE11" s="368"/>
      <c r="AF11" s="368"/>
      <c r="AG11" s="368"/>
      <c r="AH11" s="368"/>
      <c r="AI11" s="367"/>
      <c r="AJ11" s="368"/>
      <c r="AK11" s="304"/>
      <c r="AM11" s="501"/>
      <c r="AN11" s="501" t="str">
        <f>IF(T11="","",T11)</f>
        <v>Добавить наименование признака дифференциации</v>
      </c>
      <c r="AO11" s="501"/>
      <c r="AP11" s="501"/>
      <c r="AQ11" s="1156">
        <v>0</v>
      </c>
    </row>
    <row s="1643" customFormat="1" customHeight="1" ht="14.25" hidden="1">
      <c r="A12" s="1344"/>
      <c r="B12" s="1344"/>
      <c r="C12" s="1315"/>
      <c r="D12" s="1315"/>
      <c r="E12" s="2260"/>
      <c r="F12" s="2259"/>
      <c r="G12" s="1315"/>
      <c r="H12" s="1315"/>
      <c r="I12" s="1315"/>
      <c r="J12" s="1315"/>
      <c r="K12" s="1315"/>
      <c r="L12" s="1495"/>
      <c r="M12" s="1322"/>
      <c r="N12" s="1322"/>
      <c r="P12" s="1317"/>
      <c r="Q12" s="1318"/>
      <c r="R12" s="1317"/>
      <c r="S12" s="1323"/>
      <c r="T12" s="1326" t="s">
        <v>177</v>
      </c>
      <c r="U12" s="1325"/>
      <c r="V12" s="1325"/>
      <c r="W12" s="1325"/>
      <c r="X12" s="1325"/>
      <c r="Y12" s="1325"/>
      <c r="Z12" s="1325"/>
      <c r="AA12" s="1325"/>
      <c r="AB12" s="1325"/>
      <c r="AC12" s="1325"/>
      <c r="AD12" s="1325"/>
      <c r="AE12" s="1325"/>
      <c r="AF12" s="1325"/>
      <c r="AG12" s="1325"/>
      <c r="AH12" s="1325"/>
      <c r="AI12" s="1325"/>
      <c r="AJ12" s="1325"/>
      <c r="AK12" s="1325"/>
      <c r="AM12" s="790"/>
      <c r="AN12" s="790" t="str">
        <f>IF(T12="","",T12)</f>
        <v>Добавить централизованную систему для дифференциации</v>
      </c>
      <c r="AO12" s="790"/>
      <c r="AP12" s="790"/>
      <c r="AQ12" s="519">
        <v>0</v>
      </c>
    </row>
    <row s="1643" customFormat="1" customHeight="1" ht="14.25" hidden="1">
      <c r="A13" s="1344"/>
      <c r="B13" s="1344"/>
      <c r="C13" s="1344"/>
      <c r="D13" s="1344"/>
      <c r="E13" s="2259"/>
      <c r="F13" s="1344"/>
      <c r="G13" s="1344"/>
      <c r="H13" s="1344"/>
      <c r="I13" s="1344"/>
      <c r="J13" s="1344"/>
      <c r="K13" s="1344"/>
      <c r="L13" s="1347"/>
      <c r="M13" s="1322"/>
      <c r="N13" s="1322"/>
      <c r="O13" s="519"/>
      <c r="P13" s="381"/>
      <c r="Q13" s="1345"/>
      <c r="R13" s="381"/>
      <c r="S13" s="1323"/>
      <c r="T13" s="1326" t="s">
        <v>178</v>
      </c>
      <c r="U13" s="1325"/>
      <c r="V13" s="1325"/>
      <c r="W13" s="1325"/>
      <c r="X13" s="1325"/>
      <c r="Y13" s="1325"/>
      <c r="Z13" s="1325"/>
      <c r="AA13" s="1325"/>
      <c r="AB13" s="1325"/>
      <c r="AC13" s="1325"/>
      <c r="AD13" s="1325"/>
      <c r="AE13" s="1325"/>
      <c r="AF13" s="1325"/>
      <c r="AG13" s="1325"/>
      <c r="AH13" s="1325"/>
      <c r="AI13" s="1325"/>
      <c r="AJ13" s="1325"/>
      <c r="AK13" s="1325"/>
      <c r="AM13" s="501"/>
      <c r="AN13" s="501" t="str">
        <f>IF(T13="","",T13)</f>
        <v>Добавить территорию для дифференциации</v>
      </c>
      <c r="AO13" s="501"/>
      <c r="AP13" s="501"/>
      <c r="AQ13" s="512">
        <v>0</v>
      </c>
    </row>
    <row customHeight="1" ht="14.25" hidden="1">
      <c r="AB14" s="328"/>
      <c r="AI14" s="328"/>
      <c r="AQ14" s="1156">
        <v>0</v>
      </c>
    </row>
    <row customHeight="1" ht="14.25" hidden="1">
      <c r="AC15" s="1361"/>
      <c r="AD15" s="1361"/>
      <c r="AE15" s="1362"/>
      <c r="AF15" s="2268"/>
      <c r="AG15" s="2269" t="s">
        <v>61</v>
      </c>
      <c r="AH15" s="2268"/>
      <c r="AI15" s="2269" t="s">
        <v>61</v>
      </c>
      <c r="AQ15" s="1156">
        <v>0</v>
      </c>
    </row>
    <row customHeight="1" ht="14.25" hidden="1">
      <c r="AC16" s="1361"/>
      <c r="AD16" s="1361"/>
      <c r="AE16" s="329" t="str">
        <f>AF15&amp;"-"&amp;AH15</f>
        <v>-</v>
      </c>
      <c r="AF16" s="2269"/>
      <c r="AG16" s="2269"/>
      <c r="AH16" s="2269"/>
      <c r="AI16" s="2269"/>
      <c r="AQ16" s="1156">
        <v>0</v>
      </c>
    </row>
    <row customHeight="1" ht="14.25" hidden="1">
      <c r="AI17" s="328"/>
      <c r="AQ17" s="1156">
        <v>0</v>
      </c>
    </row>
    <row s="1367" customFormat="1" customHeight="1" ht="22.5" hidden="1">
      <c r="L18" s="1479"/>
      <c r="M18" s="1363"/>
      <c r="N18" s="1363"/>
      <c r="O18" s="1368" t="s">
        <v>431</v>
      </c>
      <c r="P18" s="1363"/>
      <c r="Q18" s="1372"/>
      <c r="R18" s="1372"/>
      <c r="S18" s="730"/>
      <c r="Y18" s="1368"/>
      <c r="AA18" s="1368"/>
      <c r="AB18" s="1367"/>
      <c r="AF18" s="1368"/>
      <c r="AH18" s="1368"/>
      <c r="AI18" s="1367"/>
      <c r="AL18" s="512"/>
      <c r="AM18" s="512"/>
      <c r="AN18" s="512"/>
      <c r="AO18" s="512"/>
      <c r="AP18" s="512"/>
      <c r="AQ18" s="1161">
        <v>0</v>
      </c>
    </row>
    <row s="1367" customFormat="1" customHeight="1" ht="14.25" hidden="1">
      <c r="L19" s="1479"/>
      <c r="M19" s="1363"/>
      <c r="N19" s="1363"/>
      <c r="O19" s="1363"/>
      <c r="P19" s="1363"/>
      <c r="Q19" s="1372"/>
      <c r="R19" s="1372"/>
      <c r="S19" s="730"/>
      <c r="AB19" s="1367"/>
      <c r="AI19" s="1367"/>
      <c r="AL19" s="512"/>
      <c r="AM19" s="512"/>
      <c r="AN19" s="512"/>
      <c r="AO19" s="512"/>
      <c r="AP19" s="512"/>
      <c r="AQ19" s="1161">
        <v>0</v>
      </c>
    </row>
    <row s="1367" customFormat="1" customHeight="1" ht="12" hidden="1">
      <c r="L20" s="1479"/>
      <c r="M20" s="1363"/>
      <c r="N20" s="1363"/>
      <c r="O20" s="1365" t="s">
        <v>432</v>
      </c>
      <c r="P20" s="1363"/>
      <c r="Q20" s="1443"/>
      <c r="R20" s="1443"/>
      <c r="S20" s="730"/>
      <c r="T20" s="1161" t="s">
        <v>433</v>
      </c>
      <c r="Z20" s="187" t="s">
        <v>434</v>
      </c>
      <c r="AB20" s="187" t="s">
        <v>435</v>
      </c>
      <c r="AC20" s="1161" t="s">
        <v>433</v>
      </c>
      <c r="AG20" s="187" t="s">
        <v>436</v>
      </c>
      <c r="AI20" s="187" t="s">
        <v>435</v>
      </c>
      <c r="AQ20" s="1161">
        <v>0</v>
      </c>
    </row>
    <row customHeight="1" ht="14.25" hidden="1">
      <c r="O21" s="1365"/>
      <c r="AQ21" s="1156">
        <v>0</v>
      </c>
    </row>
    <row customHeight="1" ht="14.25" hidden="1">
      <c r="O22" s="1365"/>
      <c r="AQ22" s="1156">
        <v>0</v>
      </c>
    </row>
    <row customHeight="1" ht="14.699999999999998">
      <c r="Q23" s="377"/>
      <c r="R23" s="377"/>
      <c r="S23" s="1276"/>
      <c r="T23" s="364"/>
      <c r="U23" s="364"/>
      <c r="V23" s="510"/>
      <c r="W23" s="510"/>
      <c r="X23" s="510"/>
      <c r="Y23" s="510"/>
      <c r="Z23" s="510"/>
      <c r="AA23" s="510"/>
      <c r="AB23" s="510"/>
      <c r="AC23" s="510"/>
      <c r="AD23" s="510"/>
      <c r="AE23" s="510"/>
      <c r="AF23" s="510"/>
      <c r="AG23" s="510"/>
      <c r="AH23" s="510"/>
      <c r="AI23" s="510"/>
      <c r="AQ23" s="1156">
        <v>14</v>
      </c>
    </row>
    <row customHeight="1" ht="14.699999999999998">
      <c r="Q24" s="377"/>
      <c r="R24" s="377"/>
      <c r="S24" s="2249" t="str">
        <f>IF(TEMPLATE_GROUP="P",PT_P_FORM_VOTV_4_NAME_FORM,PT_R_FORM_VOTV_16_NAME_FORM)</f>
        <v>Форма 13. Информация о предложении организации водоотведения об установлении расчетной величины тарифов в сфере водоотведения на очередной период регулирования</v>
      </c>
      <c r="T24" s="2249"/>
      <c r="U24" s="2249"/>
      <c r="V24" s="2249"/>
      <c r="W24" s="2249"/>
      <c r="X24" s="2249"/>
      <c r="Y24" s="2249"/>
      <c r="Z24" s="2249"/>
      <c r="AA24" s="2249"/>
      <c r="AB24" s="2249"/>
      <c r="AC24" s="2249"/>
      <c r="AD24" s="2249"/>
      <c r="AE24" s="2249"/>
      <c r="AF24" s="2249"/>
      <c r="AG24" s="2249"/>
      <c r="AH24" s="2249"/>
      <c r="AI24" s="1244"/>
      <c r="AQ24" s="1156">
        <v>14</v>
      </c>
    </row>
    <row customHeight="1" ht="14.699999999999998">
      <c r="Q25" s="377"/>
      <c r="R25" s="377"/>
      <c r="S25" s="2250" t="str">
        <f>IF(org=0,"Не определено",org)</f>
        <v>ПАО "КГК"</v>
      </c>
      <c r="T25" s="2250"/>
      <c r="U25" s="2250"/>
      <c r="V25" s="2250"/>
      <c r="W25" s="2250"/>
      <c r="X25" s="2250"/>
      <c r="Y25" s="2250"/>
      <c r="Z25" s="2250"/>
      <c r="AA25" s="2250"/>
      <c r="AB25" s="2250"/>
      <c r="AC25" s="2250"/>
      <c r="AD25" s="2250"/>
      <c r="AE25" s="2250"/>
      <c r="AF25" s="2250"/>
      <c r="AG25" s="2250"/>
      <c r="AH25" s="2250"/>
      <c r="AI25" s="1244"/>
      <c r="AQ25" s="1156">
        <v>14</v>
      </c>
    </row>
    <row customHeight="1" ht="14.25" hidden="1">
      <c r="Q26" s="377"/>
      <c r="R26" s="377"/>
      <c r="S26" s="1276"/>
      <c r="T26" s="364"/>
      <c r="U26" s="364"/>
      <c r="V26" s="323"/>
      <c r="W26" s="323"/>
      <c r="X26" s="323"/>
      <c r="Y26" s="323"/>
      <c r="Z26" s="323"/>
      <c r="AA26" s="323"/>
      <c r="AB26" s="323"/>
      <c r="AC26" s="323"/>
      <c r="AD26" s="323"/>
      <c r="AE26" s="323"/>
      <c r="AF26" s="323"/>
      <c r="AG26" s="323"/>
      <c r="AH26" s="323"/>
      <c r="AI26" s="323"/>
      <c r="AJ26" s="510"/>
      <c r="AQ26" s="1156">
        <v>0</v>
      </c>
    </row>
    <row s="1854" customFormat="1" customHeight="1" ht="25.5" hidden="1">
      <c r="A27" s="1369"/>
      <c r="B27" s="1369"/>
      <c r="C27" s="1369"/>
      <c r="D27" s="1369"/>
      <c r="E27" s="1369"/>
      <c r="F27" s="1369"/>
      <c r="G27" s="1369"/>
      <c r="H27" s="1369"/>
      <c r="I27" s="1369"/>
      <c r="J27" s="1369"/>
      <c r="K27" s="1369"/>
      <c r="L27" s="1370"/>
      <c r="M27" s="1369"/>
      <c r="N27" s="1369"/>
      <c r="O27" s="1369"/>
      <c r="S27" s="2251" t="s">
        <v>42</v>
      </c>
      <c r="T27" s="2251"/>
      <c r="U27" s="1373"/>
      <c r="V27" s="2252" t="str">
        <f>IF(TITLE_NAME_OR_PR_CHANGE="",IF(TITLE_NAME_OR_PR="","",TITLE_NAME_OR_PR),TITLE_NAME_OR_PR_CHANGE)</f>
        <v/>
      </c>
      <c r="W27" s="2252"/>
      <c r="X27" s="2252"/>
      <c r="Y27" s="2252"/>
      <c r="Z27" s="2252"/>
      <c r="AA27" s="2252"/>
      <c r="AB27" s="327"/>
      <c r="AC27" s="2252" t="str">
        <f>IF(TITLE_NAME_OR_PR_CHANGE="",IF(TITLE_NAME_OR_PR="","",TITLE_NAME_OR_PR),TITLE_NAME_OR_PR_CHANGE)</f>
        <v/>
      </c>
      <c r="AD27" s="2252"/>
      <c r="AE27" s="2252"/>
      <c r="AF27" s="2252"/>
      <c r="AG27" s="2252"/>
      <c r="AH27" s="2252"/>
      <c r="AI27" s="327"/>
      <c r="AJ27" s="327"/>
      <c r="AK27" s="281"/>
      <c r="AL27" s="369"/>
      <c r="AM27" s="369"/>
      <c r="AN27" s="369"/>
      <c r="AO27" s="369"/>
      <c r="AP27" s="369"/>
      <c r="AQ27" s="419">
        <v>0</v>
      </c>
    </row>
    <row s="1854" customFormat="1" customHeight="1" ht="18.75" hidden="1">
      <c r="A28" s="1369"/>
      <c r="B28" s="1369"/>
      <c r="C28" s="1369"/>
      <c r="D28" s="1369"/>
      <c r="E28" s="1369"/>
      <c r="F28" s="1369"/>
      <c r="G28" s="1369"/>
      <c r="H28" s="1369"/>
      <c r="I28" s="1369"/>
      <c r="J28" s="1369"/>
      <c r="K28" s="1369"/>
      <c r="L28" s="1370"/>
      <c r="M28" s="1369"/>
      <c r="N28" s="1369"/>
      <c r="O28" s="1369"/>
      <c r="S28" s="2251" t="s">
        <v>437</v>
      </c>
      <c r="T28" s="2251"/>
      <c r="U28" s="1373"/>
      <c r="V28" s="2265" t="str">
        <f>IF(TITLE_DATE_PR_CHANGE="",IF(TITLE_DATE_PR="","",TITLE_DATE_PR),TITLE_DATE_PR_CHANGE)</f>
        <v>46142</v>
      </c>
      <c r="W28" s="2265"/>
      <c r="X28" s="2265"/>
      <c r="Y28" s="2265"/>
      <c r="Z28" s="2265"/>
      <c r="AA28" s="2265"/>
      <c r="AB28" s="327"/>
      <c r="AC28" s="2265" t="str">
        <f>IF(TITLE_DATE_PR_CHANGE="",IF(TITLE_DATE_PR="","",TITLE_DATE_PR),TITLE_DATE_PR_CHANGE)</f>
        <v>46142</v>
      </c>
      <c r="AD28" s="2265"/>
      <c r="AE28" s="2265"/>
      <c r="AF28" s="2265"/>
      <c r="AG28" s="2265"/>
      <c r="AH28" s="2265"/>
      <c r="AI28" s="327"/>
      <c r="AJ28" s="327"/>
      <c r="AK28" s="281"/>
      <c r="AL28" s="369"/>
      <c r="AM28" s="369"/>
      <c r="AN28" s="369"/>
      <c r="AO28" s="369"/>
      <c r="AP28" s="369"/>
      <c r="AQ28" s="419">
        <v>0</v>
      </c>
    </row>
    <row s="1854" customFormat="1" customHeight="1" ht="18.75" hidden="1">
      <c r="A29" s="1369"/>
      <c r="B29" s="1369"/>
      <c r="C29" s="1369"/>
      <c r="D29" s="1369"/>
      <c r="E29" s="1369"/>
      <c r="F29" s="1369"/>
      <c r="G29" s="1369"/>
      <c r="H29" s="1369"/>
      <c r="I29" s="1369"/>
      <c r="J29" s="1369"/>
      <c r="K29" s="1369"/>
      <c r="L29" s="1370"/>
      <c r="M29" s="1369"/>
      <c r="N29" s="1369"/>
      <c r="O29" s="1369"/>
      <c r="S29" s="2251" t="s">
        <v>438</v>
      </c>
      <c r="T29" s="2251"/>
      <c r="U29" s="1373"/>
      <c r="V29" s="2252" t="str">
        <f>IF(TITLE_NUMBER_PR_CHANGE="",IF(TITLE_NUMBER_PR="","",TITLE_NUMBER_PR),TITLE_NUMBER_PR_CHANGE)</f>
        <v>206Т</v>
      </c>
      <c r="W29" s="2252"/>
      <c r="X29" s="2252"/>
      <c r="Y29" s="2252"/>
      <c r="Z29" s="2252"/>
      <c r="AA29" s="2252"/>
      <c r="AB29" s="327"/>
      <c r="AC29" s="2252" t="str">
        <f>IF(TITLE_NUMBER_PR_CHANGE="",IF(TITLE_NUMBER_PR="","",TITLE_NUMBER_PR),TITLE_NUMBER_PR_CHANGE)</f>
        <v>206Т</v>
      </c>
      <c r="AD29" s="2252"/>
      <c r="AE29" s="2252"/>
      <c r="AF29" s="2252"/>
      <c r="AG29" s="2252"/>
      <c r="AH29" s="2252"/>
      <c r="AI29" s="327"/>
      <c r="AJ29" s="327"/>
      <c r="AK29" s="281"/>
      <c r="AL29" s="369"/>
      <c r="AM29" s="369"/>
      <c r="AN29" s="369"/>
      <c r="AO29" s="369"/>
      <c r="AP29" s="369"/>
      <c r="AQ29" s="419">
        <v>0</v>
      </c>
    </row>
    <row s="1854" customFormat="1" customHeight="1" ht="18.75" hidden="1">
      <c r="A30" s="1369"/>
      <c r="B30" s="1369"/>
      <c r="C30" s="1369"/>
      <c r="D30" s="1369"/>
      <c r="E30" s="1369"/>
      <c r="F30" s="1369"/>
      <c r="G30" s="1369"/>
      <c r="H30" s="1369"/>
      <c r="I30" s="1369"/>
      <c r="J30" s="1369"/>
      <c r="K30" s="1369"/>
      <c r="L30" s="1370"/>
      <c r="M30" s="1369"/>
      <c r="N30" s="1369"/>
      <c r="O30" s="1369"/>
      <c r="S30" s="2251" t="s">
        <v>43</v>
      </c>
      <c r="T30" s="2251"/>
      <c r="U30" s="1373"/>
      <c r="V30" s="2252" t="str">
        <f>IF(TITLE_IST_PUB_CHANGE="",IF(TITLE_IST_PUB="","",TITLE_IST_PUB),TITLE_IST_PUB_CHANGE)</f>
        <v/>
      </c>
      <c r="W30" s="2252"/>
      <c r="X30" s="2252"/>
      <c r="Y30" s="2252"/>
      <c r="Z30" s="2252"/>
      <c r="AA30" s="2252"/>
      <c r="AB30" s="327"/>
      <c r="AC30" s="2252" t="str">
        <f>IF(TITLE_IST_PUB_CHANGE="",IF(TITLE_IST_PUB="","",TITLE_IST_PUB),TITLE_IST_PUB_CHANGE)</f>
        <v/>
      </c>
      <c r="AD30" s="2252"/>
      <c r="AE30" s="2252"/>
      <c r="AF30" s="2252"/>
      <c r="AG30" s="2252"/>
      <c r="AH30" s="2252"/>
      <c r="AI30" s="327"/>
      <c r="AJ30" s="327"/>
      <c r="AK30" s="281"/>
      <c r="AL30" s="369"/>
      <c r="AM30" s="369"/>
      <c r="AN30" s="369"/>
      <c r="AO30" s="369"/>
      <c r="AP30" s="369"/>
      <c r="AQ30" s="419">
        <v>0</v>
      </c>
    </row>
    <row customHeight="1" ht="14.25">
      <c r="Q31" s="377"/>
      <c r="R31" s="377"/>
      <c r="S31" s="1276"/>
      <c r="T31" s="364"/>
      <c r="U31" s="364"/>
      <c r="V31" s="323"/>
      <c r="W31" s="323"/>
      <c r="X31" s="323"/>
      <c r="Y31" s="323"/>
      <c r="Z31" s="323"/>
      <c r="AA31" s="323"/>
      <c r="AB31" s="323"/>
      <c r="AC31" s="323"/>
      <c r="AD31" s="323"/>
      <c r="AE31" s="323"/>
      <c r="AF31" s="323"/>
      <c r="AG31" s="323"/>
      <c r="AH31" s="323"/>
      <c r="AI31" s="323"/>
      <c r="AJ31" s="510"/>
      <c r="AQ31" s="1156">
        <v>0</v>
      </c>
    </row>
    <row s="1854" customFormat="1" customHeight="1" ht="18.75">
      <c r="A32" s="1369"/>
      <c r="B32" s="1369"/>
      <c r="C32" s="1369"/>
      <c r="D32" s="1369"/>
      <c r="E32" s="1369"/>
      <c r="F32" s="1369"/>
      <c r="G32" s="1369"/>
      <c r="H32" s="1369"/>
      <c r="I32" s="1369"/>
      <c r="J32" s="1369"/>
      <c r="K32" s="1369"/>
      <c r="L32" s="1370"/>
      <c r="M32" s="1369"/>
      <c r="N32" s="1369"/>
      <c r="O32" s="1369"/>
      <c r="S32" s="2251" t="s">
        <v>439</v>
      </c>
      <c r="T32" s="2251"/>
      <c r="U32" s="1373"/>
      <c r="V32" s="2265" t="str">
        <f>IF(TITLE_DATE_PR_CHANGE="",IF(TITLE_DATE_PR="","",TITLE_DATE_PR),TITLE_DATE_PR_CHANGE)</f>
        <v>46142</v>
      </c>
      <c r="W32" s="2265"/>
      <c r="X32" s="2265"/>
      <c r="Y32" s="2265"/>
      <c r="Z32" s="2265"/>
      <c r="AA32" s="2265"/>
      <c r="AB32" s="327"/>
      <c r="AC32" s="2265" t="str">
        <f>IF(TITLE_DATE_PR_CHANGE="",IF(TITLE_DATE_PR="","",TITLE_DATE_PR),TITLE_DATE_PR_CHANGE)</f>
        <v>46142</v>
      </c>
      <c r="AD32" s="2265"/>
      <c r="AE32" s="2265"/>
      <c r="AF32" s="2265"/>
      <c r="AG32" s="2265"/>
      <c r="AH32" s="2265"/>
      <c r="AI32" s="327"/>
      <c r="AJ32" s="327"/>
      <c r="AK32" s="281"/>
      <c r="AL32" s="369"/>
      <c r="AM32" s="369"/>
      <c r="AN32" s="369"/>
      <c r="AO32" s="369"/>
      <c r="AP32" s="369"/>
      <c r="AQ32" s="419">
        <v>0</v>
      </c>
    </row>
    <row s="1854" customFormat="1" customHeight="1" ht="18.75">
      <c r="A33" s="1369"/>
      <c r="B33" s="1369"/>
      <c r="C33" s="1369"/>
      <c r="D33" s="1369"/>
      <c r="E33" s="1369"/>
      <c r="F33" s="1369"/>
      <c r="G33" s="1369"/>
      <c r="H33" s="1369"/>
      <c r="I33" s="1369"/>
      <c r="J33" s="1369"/>
      <c r="K33" s="1369"/>
      <c r="L33" s="1370"/>
      <c r="M33" s="1369"/>
      <c r="N33" s="1369"/>
      <c r="O33" s="1369"/>
      <c r="S33" s="2251" t="s">
        <v>440</v>
      </c>
      <c r="T33" s="2251"/>
      <c r="U33" s="1373"/>
      <c r="V33" s="2252" t="str">
        <f>IF(TITLE_NUMBER_PR_CHANGE="",IF(TITLE_NUMBER_PR="","",TITLE_NUMBER_PR),TITLE_NUMBER_PR_CHANGE)</f>
        <v>206Т</v>
      </c>
      <c r="W33" s="2252"/>
      <c r="X33" s="2252"/>
      <c r="Y33" s="2252"/>
      <c r="Z33" s="2252"/>
      <c r="AA33" s="2252"/>
      <c r="AB33" s="327"/>
      <c r="AC33" s="2252" t="str">
        <f>IF(TITLE_NUMBER_PR_CHANGE="",IF(TITLE_NUMBER_PR="","",TITLE_NUMBER_PR),TITLE_NUMBER_PR_CHANGE)</f>
        <v>206Т</v>
      </c>
      <c r="AD33" s="2252"/>
      <c r="AE33" s="2252"/>
      <c r="AF33" s="2252"/>
      <c r="AG33" s="2252"/>
      <c r="AH33" s="2252"/>
      <c r="AI33" s="327"/>
      <c r="AJ33" s="327"/>
      <c r="AK33" s="281"/>
      <c r="AL33" s="369"/>
      <c r="AM33" s="369"/>
      <c r="AN33" s="369"/>
      <c r="AO33" s="369"/>
      <c r="AP33" s="369"/>
      <c r="AQ33" s="419">
        <v>0</v>
      </c>
    </row>
    <row s="1854" customFormat="1" customHeight="1" ht="1.05">
      <c r="A34" s="1369"/>
      <c r="B34" s="1369"/>
      <c r="C34" s="1369"/>
      <c r="D34" s="1369"/>
      <c r="E34" s="1369"/>
      <c r="F34" s="1369"/>
      <c r="G34" s="1369"/>
      <c r="H34" s="1369"/>
      <c r="I34" s="1369"/>
      <c r="J34" s="1369"/>
      <c r="K34" s="1369"/>
      <c r="L34" s="1370"/>
      <c r="M34" s="1369"/>
      <c r="N34" s="1369"/>
      <c r="O34" s="1369"/>
      <c r="S34" s="324"/>
      <c r="T34" s="324"/>
      <c r="U34" s="1489"/>
      <c r="V34" s="327"/>
      <c r="W34" s="327"/>
      <c r="X34" s="327"/>
      <c r="Y34" s="327"/>
      <c r="Z34" s="327"/>
      <c r="AA34" s="327"/>
      <c r="AB34" s="279" t="s">
        <v>441</v>
      </c>
      <c r="AC34" s="327"/>
      <c r="AD34" s="327"/>
      <c r="AE34" s="327"/>
      <c r="AF34" s="327"/>
      <c r="AG34" s="327"/>
      <c r="AH34" s="327"/>
      <c r="AI34" s="279" t="s">
        <v>441</v>
      </c>
      <c r="AL34" s="369"/>
      <c r="AM34" s="369"/>
      <c r="AN34" s="369"/>
      <c r="AO34" s="369"/>
      <c r="AP34" s="369"/>
      <c r="AQ34" s="419">
        <v>1</v>
      </c>
    </row>
    <row customHeight="1" ht="14.699999999999998">
      <c r="Q35" s="377"/>
      <c r="R35" s="377"/>
      <c r="S35" s="1276"/>
      <c r="T35" s="364"/>
      <c r="U35" s="1245"/>
      <c r="V35" s="2253"/>
      <c r="W35" s="2253"/>
      <c r="X35" s="2253"/>
      <c r="Y35" s="2253"/>
      <c r="Z35" s="2253"/>
      <c r="AA35" s="2253"/>
      <c r="AB35" s="2253"/>
      <c r="AC35" s="2253"/>
      <c r="AD35" s="2253"/>
      <c r="AE35" s="2253"/>
      <c r="AF35" s="2253"/>
      <c r="AG35" s="2253"/>
      <c r="AH35" s="2253"/>
      <c r="AI35" s="2253"/>
      <c r="AQ35" s="1156">
        <v>14</v>
      </c>
    </row>
    <row customHeight="1" ht="14.699999999999998">
      <c r="Q36" s="377"/>
      <c r="R36" s="377"/>
      <c r="S36" s="2128" t="s">
        <v>317</v>
      </c>
      <c r="T36" s="2128"/>
      <c r="U36" s="2128"/>
      <c r="V36" s="2128"/>
      <c r="W36" s="2128"/>
      <c r="X36" s="2128"/>
      <c r="Y36" s="2128"/>
      <c r="Z36" s="2128"/>
      <c r="AA36" s="2128"/>
      <c r="AB36" s="2128"/>
      <c r="AC36" s="2128"/>
      <c r="AD36" s="2128"/>
      <c r="AE36" s="2128"/>
      <c r="AF36" s="2128"/>
      <c r="AG36" s="2128"/>
      <c r="AH36" s="2128"/>
      <c r="AI36" s="2128"/>
      <c r="AJ36" s="2128"/>
      <c r="AK36" s="2128" t="s">
        <v>318</v>
      </c>
      <c r="AQ36" s="1156">
        <v>14</v>
      </c>
    </row>
    <row customHeight="1" ht="14.699999999999998">
      <c r="Q37" s="377"/>
      <c r="R37" s="377"/>
      <c r="S37" s="2274" t="s">
        <v>89</v>
      </c>
      <c r="T37" s="2210" t="s">
        <v>442</v>
      </c>
      <c r="U37" s="302"/>
      <c r="V37" s="2275" t="s">
        <v>443</v>
      </c>
      <c r="W37" s="2276"/>
      <c r="X37" s="2276"/>
      <c r="Y37" s="2276"/>
      <c r="Z37" s="2276"/>
      <c r="AA37" s="2277"/>
      <c r="AB37" s="2278" t="s">
        <v>444</v>
      </c>
      <c r="AC37" s="2275" t="s">
        <v>443</v>
      </c>
      <c r="AD37" s="2276"/>
      <c r="AE37" s="2276"/>
      <c r="AF37" s="2276"/>
      <c r="AG37" s="2276"/>
      <c r="AH37" s="2277"/>
      <c r="AI37" s="2278" t="s">
        <v>445</v>
      </c>
      <c r="AJ37" s="2281" t="s">
        <v>446</v>
      </c>
      <c r="AK37" s="2128"/>
      <c r="AQ37" s="1156">
        <v>14</v>
      </c>
    </row>
    <row customHeight="1" ht="35.699999999999996">
      <c r="Q38" s="377"/>
      <c r="R38" s="377"/>
      <c r="S38" s="2274"/>
      <c r="T38" s="2210"/>
      <c r="U38" s="1032"/>
      <c r="V38" s="1484" t="s">
        <v>508</v>
      </c>
      <c r="W38" s="2263" t="s">
        <v>449</v>
      </c>
      <c r="X38" s="2264"/>
      <c r="Y38" s="2263" t="s">
        <v>450</v>
      </c>
      <c r="Z38" s="2270"/>
      <c r="AA38" s="2264"/>
      <c r="AB38" s="2279"/>
      <c r="AC38" s="1484" t="s">
        <v>508</v>
      </c>
      <c r="AD38" s="2263" t="s">
        <v>449</v>
      </c>
      <c r="AE38" s="2264"/>
      <c r="AF38" s="2263" t="s">
        <v>450</v>
      </c>
      <c r="AG38" s="2270"/>
      <c r="AH38" s="2264"/>
      <c r="AI38" s="2279"/>
      <c r="AJ38" s="2282"/>
      <c r="AK38" s="2128"/>
      <c r="AQ38" s="1156">
        <v>34</v>
      </c>
    </row>
    <row customHeight="1" ht="90.3">
      <c r="A39" s="1371"/>
      <c r="B39" s="1371" t="s">
        <v>143</v>
      </c>
      <c r="C39" s="1371" t="s">
        <v>144</v>
      </c>
      <c r="D39" s="1371" t="s">
        <v>145</v>
      </c>
      <c r="E39" s="1365" t="s">
        <v>451</v>
      </c>
      <c r="F39" s="1365" t="s">
        <v>452</v>
      </c>
      <c r="G39" s="1365" t="s">
        <v>453</v>
      </c>
      <c r="H39" s="1365"/>
      <c r="I39" s="1365" t="s">
        <v>509</v>
      </c>
      <c r="J39" s="1365" t="s">
        <v>456</v>
      </c>
      <c r="K39" s="1365" t="s">
        <v>510</v>
      </c>
      <c r="L39" s="1365" t="s">
        <v>432</v>
      </c>
      <c r="Q39" s="377"/>
      <c r="R39" s="377"/>
      <c r="S39" s="2274"/>
      <c r="T39" s="2210"/>
      <c r="U39" s="303"/>
      <c r="V39" s="1484" t="s">
        <v>537</v>
      </c>
      <c r="W39" s="1223" t="s">
        <v>538</v>
      </c>
      <c r="X39" s="1223" t="s">
        <v>513</v>
      </c>
      <c r="Y39" s="1490" t="s">
        <v>460</v>
      </c>
      <c r="Z39" s="2271" t="s">
        <v>461</v>
      </c>
      <c r="AA39" s="2272"/>
      <c r="AB39" s="2280"/>
      <c r="AC39" s="1484" t="s">
        <v>537</v>
      </c>
      <c r="AD39" s="1223" t="s">
        <v>538</v>
      </c>
      <c r="AE39" s="1223" t="s">
        <v>513</v>
      </c>
      <c r="AF39" s="1490" t="s">
        <v>460</v>
      </c>
      <c r="AG39" s="2271" t="s">
        <v>461</v>
      </c>
      <c r="AH39" s="2272"/>
      <c r="AI39" s="2280"/>
      <c r="AJ39" s="2283"/>
      <c r="AK39" s="2128"/>
      <c r="AQ39" s="1156">
        <v>86</v>
      </c>
    </row>
    <row s="1642" customFormat="1" customHeight="1" ht="11.25" hidden="1">
      <c r="A40" s="1371"/>
      <c r="B40" s="1371"/>
      <c r="C40" s="1371"/>
      <c r="D40" s="1371"/>
      <c r="E40" s="1371"/>
      <c r="F40" s="1371"/>
      <c r="G40" s="1371"/>
      <c r="H40" s="1371"/>
      <c r="I40" s="1371"/>
      <c r="J40" s="1371"/>
      <c r="K40" s="1371"/>
      <c r="L40" s="1365"/>
      <c r="M40" s="1363"/>
      <c r="N40" s="1363"/>
      <c r="O40" s="1363"/>
      <c r="P40" s="1247"/>
      <c r="Q40" s="1248"/>
      <c r="R40" s="1255">
        <v>1</v>
      </c>
      <c r="S40" s="1278" t="s">
        <v>118</v>
      </c>
      <c r="T40" s="1256" t="s">
        <v>103</v>
      </c>
      <c r="U40" s="1246" t="str">
        <f>OFFSET(U40,0,-1)</f>
        <v>2</v>
      </c>
      <c r="V40" s="1483">
        <f>OFFSET(V40,0,-1)+1</f>
        <v>3</v>
      </c>
      <c r="W40" s="1483">
        <f>OFFSET(W40,0,-1)+1</f>
        <v>4</v>
      </c>
      <c r="X40" s="1483">
        <f>OFFSET(X40,0,-1)+1</f>
        <v>5</v>
      </c>
      <c r="Y40" s="1483">
        <f>OFFSET(Y40,0,-1)+1</f>
        <v>6</v>
      </c>
      <c r="Z40" s="2273">
        <f>OFFSET(Z40,0,-1)+1</f>
        <v>7</v>
      </c>
      <c r="AA40" s="2273"/>
      <c r="AB40" s="1483">
        <f>OFFSET(AB40,0,-2)+1</f>
        <v>8</v>
      </c>
      <c r="AC40" s="1483">
        <f>OFFSET(AC40,0,-1)+1</f>
        <v>9</v>
      </c>
      <c r="AD40" s="1483">
        <f>OFFSET(AD40,0,-1)+1</f>
        <v>10</v>
      </c>
      <c r="AE40" s="1483">
        <f>OFFSET(AE40,0,-1)+1</f>
        <v>11</v>
      </c>
      <c r="AF40" s="1483">
        <f>OFFSET(AF40,0,-1)+1</f>
        <v>12</v>
      </c>
      <c r="AG40" s="2273">
        <f>OFFSET(AG40,0,-1)+1</f>
        <v>13</v>
      </c>
      <c r="AH40" s="2273"/>
      <c r="AI40" s="1483">
        <f>OFFSET(AI40,0,-2)+1</f>
        <v>14</v>
      </c>
      <c r="AJ40" s="1246">
        <f>OFFSET(AJ40,0,-1)</f>
        <v>14</v>
      </c>
      <c r="AK40" s="1483">
        <f>OFFSET(AK40,0,-1)+1</f>
        <v>15</v>
      </c>
      <c r="AL40" s="512"/>
      <c r="AM40" s="512"/>
      <c r="AN40" s="512"/>
      <c r="AO40" s="512"/>
      <c r="AP40" s="512"/>
      <c r="AQ40" s="497">
        <v>0</v>
      </c>
    </row>
    <row customHeight="1" ht="24">
      <c r="A41" s="1364" t="s">
        <v>283</v>
      </c>
      <c r="B41" s="1364"/>
      <c r="C41" s="1364"/>
      <c r="D41" s="1364"/>
      <c r="E41" s="2259">
        <v>1</v>
      </c>
      <c r="F41" s="1364"/>
      <c r="G41" s="1364"/>
      <c r="H41" s="1364"/>
      <c r="I41" s="1364"/>
      <c r="J41" s="1364"/>
      <c r="K41" s="1364"/>
      <c r="L41" s="1365"/>
      <c r="M41" s="1366"/>
      <c r="N41" s="1366"/>
      <c r="O41" s="1366"/>
      <c r="P41" s="362"/>
      <c r="Q41" s="361"/>
      <c r="R41" s="356"/>
      <c r="S41" s="1494">
        <f>INDEX(PT_DIFFERENTIATION_NUM_NTAR,MATCH(A41,PT_DIFFERENTIATION_NTAR_ID,0))</f>
        <v>0</v>
      </c>
      <c r="T41" s="299" t="s">
        <v>131</v>
      </c>
      <c r="U41" s="301"/>
      <c r="V41" s="2243"/>
      <c r="W41" s="2244"/>
      <c r="X41" s="2244"/>
      <c r="Y41" s="2244"/>
      <c r="Z41" s="2244"/>
      <c r="AA41" s="2244"/>
      <c r="AB41" s="2245"/>
      <c r="AC41" s="2243" t="str">
        <f>INDEX(PT_DIFFERENTIATION_NTAR,MATCH(A41,PT_DIFFERENTIATION_NTAR_ID,0))</f>
        <v/>
      </c>
      <c r="AD41" s="2244"/>
      <c r="AE41" s="2244"/>
      <c r="AF41" s="2244"/>
      <c r="AG41" s="2244"/>
      <c r="AH41" s="2244"/>
      <c r="AI41" s="2244"/>
      <c r="AJ41" s="2245"/>
      <c r="AK41" s="1259"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M41" s="501"/>
      <c r="AN41" s="501" t="str">
        <f>IF(T41="","",T41)</f>
        <v>Наименование тарифа</v>
      </c>
      <c r="AO41" s="501"/>
      <c r="AP41" s="501"/>
      <c r="AQ41" s="1156">
        <v>23</v>
      </c>
    </row>
    <row customHeight="1" ht="24">
      <c r="A42" s="1364" t="s">
        <v>283</v>
      </c>
      <c r="B42" s="1364" t="s">
        <v>284</v>
      </c>
      <c r="C42" s="1364"/>
      <c r="D42" s="1364"/>
      <c r="E42" s="2260"/>
      <c r="F42" s="2259">
        <v>1</v>
      </c>
      <c r="G42" s="1364"/>
      <c r="H42" s="1364"/>
      <c r="I42" s="1364"/>
      <c r="J42" s="1364"/>
      <c r="K42" s="1364"/>
      <c r="L42" s="1365"/>
      <c r="M42" s="1366"/>
      <c r="N42" s="1366"/>
      <c r="O42" s="1366"/>
      <c r="P42" s="1488"/>
      <c r="Q42" s="353"/>
      <c r="R42" s="354"/>
      <c r="S42" s="1494" t="str">
        <f>INDEX(PT_DIFFERENTIATION_NUM_TER,MATCH(B42,PT_DIFFERENTIATION_TER_ID,0))</f>
        <v>.</v>
      </c>
      <c r="T42" s="309" t="s">
        <v>414</v>
      </c>
      <c r="U42" s="301"/>
      <c r="V42" s="2243"/>
      <c r="W42" s="2244"/>
      <c r="X42" s="2244"/>
      <c r="Y42" s="2244"/>
      <c r="Z42" s="2244"/>
      <c r="AA42" s="2244"/>
      <c r="AB42" s="2245"/>
      <c r="AC42" s="2243" t="str">
        <f>INDEX(PT_DIFFERENTIATION_TER,MATCH(B42,PT_DIFFERENTIATION_TER_ID,0))</f>
        <v/>
      </c>
      <c r="AD42" s="2244"/>
      <c r="AE42" s="2244"/>
      <c r="AF42" s="2244"/>
      <c r="AG42" s="2244"/>
      <c r="AH42" s="2244"/>
      <c r="AI42" s="2244"/>
      <c r="AJ42" s="2245"/>
      <c r="AK42" s="1259" t="s">
        <v>415</v>
      </c>
      <c r="AM42" s="501"/>
      <c r="AN42" s="501" t="str">
        <f>IF(T42="","",T42)</f>
        <v>Территория действия тарифа</v>
      </c>
      <c r="AO42" s="501"/>
      <c r="AP42" s="501"/>
      <c r="AQ42" s="1156">
        <v>23</v>
      </c>
    </row>
    <row customHeight="1" ht="24">
      <c r="A43" s="1364" t="s">
        <v>283</v>
      </c>
      <c r="B43" s="1364" t="s">
        <v>284</v>
      </c>
      <c r="C43" s="1364" t="s">
        <v>285</v>
      </c>
      <c r="D43" s="1364"/>
      <c r="E43" s="2260"/>
      <c r="F43" s="2260"/>
      <c r="G43" s="2259">
        <v>1</v>
      </c>
      <c r="H43" s="1364"/>
      <c r="I43" s="1364"/>
      <c r="J43" s="1364"/>
      <c r="K43" s="1364"/>
      <c r="L43" s="1365"/>
      <c r="M43" s="1366"/>
      <c r="N43" s="1366"/>
      <c r="O43" s="1366"/>
      <c r="P43" s="355"/>
      <c r="Q43" s="353"/>
      <c r="R43" s="354"/>
      <c r="S43" s="1494" t="str">
        <f>INDEX(PT_DIFFERENTIATION_NUM_CS,MATCH(C43,PT_DIFFERENTIATION_CS_ID,0))</f>
        <v>..</v>
      </c>
      <c r="T43" s="310" t="s">
        <v>535</v>
      </c>
      <c r="U43" s="301"/>
      <c r="V43" s="2243"/>
      <c r="W43" s="2244"/>
      <c r="X43" s="2244"/>
      <c r="Y43" s="2244"/>
      <c r="Z43" s="2244"/>
      <c r="AA43" s="2244"/>
      <c r="AB43" s="2245"/>
      <c r="AC43" s="2243" t="str">
        <f>INDEX(PT_DIFFERENTIATION_CS,MATCH(C43,PT_DIFFERENTIATION_CS_ID,0))</f>
        <v/>
      </c>
      <c r="AD43" s="2244"/>
      <c r="AE43" s="2244"/>
      <c r="AF43" s="2244"/>
      <c r="AG43" s="2244"/>
      <c r="AH43" s="2244"/>
      <c r="AI43" s="2244"/>
      <c r="AJ43" s="2245"/>
      <c r="AK43" s="1259" t="s">
        <v>536</v>
      </c>
      <c r="AM43" s="501"/>
      <c r="AN43" s="501" t="str">
        <f>IF(T43="","",T43)</f>
        <v>Наименование централизованной системы водоотведения</v>
      </c>
      <c r="AO43" s="501"/>
      <c r="AP43" s="501"/>
      <c r="AQ43" s="1156">
        <v>23</v>
      </c>
    </row>
    <row customHeight="1" ht="24">
      <c r="A44" s="1364" t="s">
        <v>283</v>
      </c>
      <c r="B44" s="1364" t="s">
        <v>284</v>
      </c>
      <c r="C44" s="1364" t="s">
        <v>285</v>
      </c>
      <c r="D44" s="1364" t="s">
        <v>539</v>
      </c>
      <c r="E44" s="2260"/>
      <c r="F44" s="2260"/>
      <c r="G44" s="2260"/>
      <c r="H44" s="2260"/>
      <c r="I44" s="2257" t="str">
        <f>S43&amp;".1"</f>
        <v>...1</v>
      </c>
      <c r="J44" s="1364"/>
      <c r="K44" s="1364"/>
      <c r="L44" s="1365"/>
      <c r="P44" s="2258">
        <v>1</v>
      </c>
      <c r="Q44" s="1482"/>
      <c r="R44" s="357"/>
      <c r="S44" s="1494" t="str">
        <f>$I44</f>
        <v>...1</v>
      </c>
      <c r="T44" s="286" t="s">
        <v>502</v>
      </c>
      <c r="U44" s="301"/>
      <c r="V44" s="2351"/>
      <c r="W44" s="2352"/>
      <c r="X44" s="2352"/>
      <c r="Y44" s="2352"/>
      <c r="Z44" s="2352"/>
      <c r="AA44" s="2352"/>
      <c r="AB44" s="2353"/>
      <c r="AC44" s="2354"/>
      <c r="AD44" s="2355"/>
      <c r="AE44" s="2355"/>
      <c r="AF44" s="2355"/>
      <c r="AG44" s="2355"/>
      <c r="AH44" s="2355"/>
      <c r="AI44" s="2355"/>
      <c r="AJ44" s="2356"/>
      <c r="AK44" s="1259" t="s">
        <v>503</v>
      </c>
      <c r="AM44" s="501"/>
      <c r="AN44" s="501" t="str">
        <f>IF(T44="","",T44)</f>
        <v>Наименование признака дифференциации</v>
      </c>
      <c r="AO44" s="501"/>
      <c r="AP44" s="501"/>
      <c r="AQ44" s="1156">
        <v>23</v>
      </c>
    </row>
    <row customHeight="1" ht="24">
      <c r="A45" s="1364" t="s">
        <v>283</v>
      </c>
      <c r="B45" s="1364" t="s">
        <v>284</v>
      </c>
      <c r="C45" s="1364" t="s">
        <v>285</v>
      </c>
      <c r="D45" s="1364" t="s">
        <v>539</v>
      </c>
      <c r="E45" s="2260"/>
      <c r="F45" s="2260"/>
      <c r="G45" s="2260"/>
      <c r="H45" s="2260"/>
      <c r="I45" s="2287"/>
      <c r="J45" s="2257" t="str">
        <f>I44&amp;".1"</f>
        <v>...1.1</v>
      </c>
      <c r="K45" s="1364"/>
      <c r="L45" s="1365" t="s">
        <v>423</v>
      </c>
      <c r="P45" s="2258"/>
      <c r="Q45" s="2258">
        <v>1</v>
      </c>
      <c r="R45" s="358"/>
      <c r="S45" s="1494" t="str">
        <f>$J45</f>
        <v>...1.1</v>
      </c>
      <c r="T45" s="287" t="s">
        <v>424</v>
      </c>
      <c r="U45" s="301"/>
      <c r="V45" s="2246"/>
      <c r="W45" s="2247"/>
      <c r="X45" s="2247"/>
      <c r="Y45" s="2247"/>
      <c r="Z45" s="2247"/>
      <c r="AA45" s="2247"/>
      <c r="AB45" s="2248"/>
      <c r="AC45" s="2246"/>
      <c r="AD45" s="2247"/>
      <c r="AE45" s="2247"/>
      <c r="AF45" s="2247"/>
      <c r="AG45" s="2247"/>
      <c r="AH45" s="2247"/>
      <c r="AI45" s="2247"/>
      <c r="AJ45" s="2248"/>
      <c r="AK45" s="1308" t="s">
        <v>504</v>
      </c>
      <c r="AM45" s="501"/>
      <c r="AN45" s="501" t="str">
        <f>IF(T45="","",T45)</f>
        <v>Группа потребителей</v>
      </c>
      <c r="AO45" s="501"/>
      <c r="AP45" s="501"/>
      <c r="AQ45" s="1156">
        <v>23</v>
      </c>
    </row>
    <row customHeight="1" ht="24">
      <c r="A46" s="1364" t="s">
        <v>283</v>
      </c>
      <c r="B46" s="1364" t="s">
        <v>284</v>
      </c>
      <c r="C46" s="1364" t="s">
        <v>285</v>
      </c>
      <c r="D46" s="1364" t="s">
        <v>539</v>
      </c>
      <c r="E46" s="2260"/>
      <c r="F46" s="2260"/>
      <c r="G46" s="2260"/>
      <c r="H46" s="2260"/>
      <c r="I46" s="2287"/>
      <c r="J46" s="2287"/>
      <c r="K46" s="2257" t="str">
        <f>J45&amp;".1"</f>
        <v>...1.1.1</v>
      </c>
      <c r="L46" s="1365"/>
      <c r="P46" s="2258"/>
      <c r="Q46" s="2258"/>
      <c r="R46" s="358">
        <v>1</v>
      </c>
      <c r="S46" s="1494" t="str">
        <f>$K46</f>
        <v>...1.1.1</v>
      </c>
      <c r="T46" s="1438"/>
      <c r="U46" s="301"/>
      <c r="V46" s="1361"/>
      <c r="W46" s="1361"/>
      <c r="X46" s="1362"/>
      <c r="Y46" s="2268"/>
      <c r="Z46" s="2269" t="s">
        <v>61</v>
      </c>
      <c r="AA46" s="2268"/>
      <c r="AB46" s="2269" t="s">
        <v>61</v>
      </c>
      <c r="AC46" s="752"/>
      <c r="AD46" s="752"/>
      <c r="AE46" s="1258"/>
      <c r="AF46" s="2266"/>
      <c r="AG46" s="2108" t="s">
        <v>61</v>
      </c>
      <c r="AH46" s="2288"/>
      <c r="AI46" s="2108" t="s">
        <v>19</v>
      </c>
      <c r="AJ46" s="1439"/>
      <c r="AK46" s="2350"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46" s="512">
        <f>STRCHECKDATE(V47:AJ47)</f>
      </c>
      <c r="AM46" s="501"/>
      <c r="AN46" s="501" t="str">
        <f>IF(T46="","",T46)</f>
        <v/>
      </c>
      <c r="AO46" s="501"/>
      <c r="AP46" s="501"/>
      <c r="AQ46" s="1156">
        <v>23</v>
      </c>
    </row>
    <row customHeight="1" ht="0">
      <c r="A47" s="1364" t="s">
        <v>283</v>
      </c>
      <c r="B47" s="1364" t="s">
        <v>284</v>
      </c>
      <c r="C47" s="1364" t="s">
        <v>285</v>
      </c>
      <c r="D47" s="1364" t="s">
        <v>539</v>
      </c>
      <c r="E47" s="2260"/>
      <c r="F47" s="2260"/>
      <c r="G47" s="2260"/>
      <c r="H47" s="2260"/>
      <c r="I47" s="2287"/>
      <c r="J47" s="2287"/>
      <c r="K47" s="2257"/>
      <c r="L47" s="1365"/>
      <c r="P47" s="2258"/>
      <c r="Q47" s="2258"/>
      <c r="R47" s="358"/>
      <c r="S47" s="1491"/>
      <c r="T47" s="301"/>
      <c r="U47" s="301"/>
      <c r="V47" s="1361"/>
      <c r="W47" s="1361"/>
      <c r="X47" s="329" t="str">
        <f>Y46&amp;"-"&amp;AA46</f>
        <v>-</v>
      </c>
      <c r="Y47" s="2269"/>
      <c r="Z47" s="2269"/>
      <c r="AA47" s="2269"/>
      <c r="AB47" s="2269"/>
      <c r="AC47" s="326"/>
      <c r="AD47" s="326"/>
      <c r="AE47" s="329" t="str">
        <f>AF46&amp;"-"&amp;AH46</f>
        <v>-</v>
      </c>
      <c r="AF47" s="2267"/>
      <c r="AG47" s="2108"/>
      <c r="AH47" s="2289"/>
      <c r="AI47" s="2108"/>
      <c r="AJ47" s="1440"/>
      <c r="AK47" s="2350"/>
      <c r="AM47" s="501"/>
      <c r="AN47" s="501" t="str">
        <f>IF(T47="","",T47)</f>
        <v/>
      </c>
      <c r="AO47" s="501"/>
      <c r="AP47" s="501"/>
      <c r="AQ47" s="1156">
        <v>0</v>
      </c>
    </row>
    <row customHeight="1" ht="21">
      <c r="A48" s="1364" t="s">
        <v>283</v>
      </c>
      <c r="B48" s="1364" t="s">
        <v>284</v>
      </c>
      <c r="C48" s="1364" t="s">
        <v>285</v>
      </c>
      <c r="D48" s="1364" t="s">
        <v>539</v>
      </c>
      <c r="E48" s="2260"/>
      <c r="F48" s="2260"/>
      <c r="G48" s="2260"/>
      <c r="H48" s="2260"/>
      <c r="I48" s="2287"/>
      <c r="J48" s="2257"/>
      <c r="K48" s="1364"/>
      <c r="L48" s="1365"/>
      <c r="P48" s="2258"/>
      <c r="Q48" s="2258"/>
      <c r="R48" s="357"/>
      <c r="S48" s="1279"/>
      <c r="T48" s="288" t="s">
        <v>505</v>
      </c>
      <c r="U48" s="368"/>
      <c r="V48" s="368"/>
      <c r="W48" s="368"/>
      <c r="X48" s="368"/>
      <c r="Y48" s="368"/>
      <c r="Z48" s="368"/>
      <c r="AA48" s="368"/>
      <c r="AB48" s="368"/>
      <c r="AC48" s="368"/>
      <c r="AD48" s="368"/>
      <c r="AE48" s="368"/>
      <c r="AF48" s="368"/>
      <c r="AG48" s="368"/>
      <c r="AH48" s="368"/>
      <c r="AI48" s="368"/>
      <c r="AJ48" s="368"/>
      <c r="AK48" s="1259" t="s">
        <v>506</v>
      </c>
      <c r="AM48" s="501"/>
      <c r="AN48" s="501" t="str">
        <f>IF(T48="","",T48)</f>
        <v>Добавить значение признака дифференциации</v>
      </c>
      <c r="AO48" s="501"/>
      <c r="AP48" s="501"/>
      <c r="AQ48" s="1156">
        <v>20</v>
      </c>
    </row>
    <row customHeight="1" ht="22.049999999999997">
      <c r="A49" s="1364" t="s">
        <v>283</v>
      </c>
      <c r="B49" s="1364" t="s">
        <v>284</v>
      </c>
      <c r="C49" s="1364" t="s">
        <v>285</v>
      </c>
      <c r="D49" s="1364" t="s">
        <v>539</v>
      </c>
      <c r="E49" s="2260"/>
      <c r="F49" s="2260"/>
      <c r="G49" s="2260"/>
      <c r="H49" s="2260"/>
      <c r="I49" s="2257"/>
      <c r="J49" s="1364"/>
      <c r="K49" s="1364"/>
      <c r="L49" s="1365"/>
      <c r="P49" s="2258"/>
      <c r="Q49" s="1482"/>
      <c r="R49" s="357"/>
      <c r="S49" s="1279"/>
      <c r="T49" s="366" t="s">
        <v>429</v>
      </c>
      <c r="U49" s="368"/>
      <c r="V49" s="368"/>
      <c r="W49" s="368"/>
      <c r="X49" s="368"/>
      <c r="Y49" s="368"/>
      <c r="Z49" s="368"/>
      <c r="AA49" s="368"/>
      <c r="AB49" s="367"/>
      <c r="AC49" s="368"/>
      <c r="AD49" s="368"/>
      <c r="AE49" s="368"/>
      <c r="AF49" s="368"/>
      <c r="AG49" s="368"/>
      <c r="AH49" s="368"/>
      <c r="AI49" s="367"/>
      <c r="AJ49" s="368"/>
      <c r="AK49" s="1441"/>
      <c r="AM49" s="501"/>
      <c r="AN49" s="501" t="str">
        <f>IF(T49="","",T49)</f>
        <v>Добавить группу потребителей</v>
      </c>
      <c r="AO49" s="501"/>
      <c r="AP49" s="501"/>
      <c r="AQ49" s="1156">
        <v>21</v>
      </c>
    </row>
    <row customHeight="1" ht="22.049999999999997">
      <c r="A50" s="1364" t="s">
        <v>283</v>
      </c>
      <c r="B50" s="1364" t="s">
        <v>284</v>
      </c>
      <c r="C50" s="1364" t="s">
        <v>285</v>
      </c>
      <c r="D50" s="1364" t="s">
        <v>539</v>
      </c>
      <c r="E50" s="2260"/>
      <c r="F50" s="2260"/>
      <c r="G50" s="2260"/>
      <c r="H50" s="2259"/>
      <c r="I50" s="1364"/>
      <c r="J50" s="1364"/>
      <c r="K50" s="1364"/>
      <c r="L50" s="1365"/>
      <c r="M50" s="1366"/>
      <c r="N50" s="1366"/>
      <c r="O50" s="538"/>
      <c r="P50" s="361"/>
      <c r="Q50" s="376"/>
      <c r="R50" s="356"/>
      <c r="S50" s="1279"/>
      <c r="T50" s="373" t="s">
        <v>507</v>
      </c>
      <c r="U50" s="368"/>
      <c r="V50" s="368"/>
      <c r="W50" s="368"/>
      <c r="X50" s="368"/>
      <c r="Y50" s="368"/>
      <c r="Z50" s="368"/>
      <c r="AA50" s="368"/>
      <c r="AB50" s="367"/>
      <c r="AC50" s="368"/>
      <c r="AD50" s="368"/>
      <c r="AE50" s="368"/>
      <c r="AF50" s="368"/>
      <c r="AG50" s="368"/>
      <c r="AH50" s="368"/>
      <c r="AI50" s="367"/>
      <c r="AJ50" s="368"/>
      <c r="AK50" s="304"/>
      <c r="AM50" s="501"/>
      <c r="AN50" s="501" t="str">
        <f>IF(T50="","",T50)</f>
        <v>Добавить наименование признака дифференциации</v>
      </c>
      <c r="AO50" s="501"/>
      <c r="AP50" s="501"/>
      <c r="AQ50" s="1156">
        <v>21</v>
      </c>
    </row>
    <row s="1643" customFormat="1" customHeight="1" ht="0">
      <c r="A51" s="1344" t="s">
        <v>283</v>
      </c>
      <c r="B51" s="1344" t="s">
        <v>284</v>
      </c>
      <c r="C51" s="1315"/>
      <c r="D51" s="1315"/>
      <c r="E51" s="2260"/>
      <c r="F51" s="2259"/>
      <c r="G51" s="1315"/>
      <c r="H51" s="1315"/>
      <c r="I51" s="1315"/>
      <c r="J51" s="1315"/>
      <c r="K51" s="1315"/>
      <c r="L51" s="1495"/>
      <c r="M51" s="1322"/>
      <c r="N51" s="1322"/>
      <c r="P51" s="1317"/>
      <c r="Q51" s="1318"/>
      <c r="R51" s="1317"/>
      <c r="S51" s="1323"/>
      <c r="T51" s="1326" t="s">
        <v>177</v>
      </c>
      <c r="U51" s="1325"/>
      <c r="V51" s="1325"/>
      <c r="W51" s="1325"/>
      <c r="X51" s="1325"/>
      <c r="Y51" s="1325"/>
      <c r="Z51" s="1325"/>
      <c r="AA51" s="1325"/>
      <c r="AB51" s="1325"/>
      <c r="AC51" s="1325"/>
      <c r="AD51" s="1325"/>
      <c r="AE51" s="1325"/>
      <c r="AF51" s="1325"/>
      <c r="AG51" s="1325"/>
      <c r="AH51" s="1325"/>
      <c r="AI51" s="1325"/>
      <c r="AJ51" s="1325"/>
      <c r="AK51" s="1325"/>
      <c r="AM51" s="790"/>
      <c r="AN51" s="790" t="str">
        <f>IF(T51="","",T51)</f>
        <v>Добавить централизованную систему для дифференциации</v>
      </c>
      <c r="AO51" s="790"/>
      <c r="AP51" s="790"/>
      <c r="AQ51" s="519">
        <v>0</v>
      </c>
    </row>
    <row s="1643" customFormat="1" customHeight="1" ht="0">
      <c r="A52" s="1344" t="s">
        <v>283</v>
      </c>
      <c r="B52" s="1344"/>
      <c r="C52" s="1344"/>
      <c r="D52" s="1344"/>
      <c r="E52" s="2259"/>
      <c r="F52" s="1344"/>
      <c r="G52" s="1344"/>
      <c r="H52" s="1344"/>
      <c r="I52" s="1344"/>
      <c r="J52" s="1344"/>
      <c r="K52" s="1344"/>
      <c r="L52" s="1347"/>
      <c r="M52" s="1322"/>
      <c r="N52" s="1322"/>
      <c r="O52" s="519"/>
      <c r="P52" s="381"/>
      <c r="Q52" s="1345"/>
      <c r="R52" s="381"/>
      <c r="S52" s="1323"/>
      <c r="T52" s="1326" t="s">
        <v>178</v>
      </c>
      <c r="U52" s="1325"/>
      <c r="V52" s="1325"/>
      <c r="W52" s="1325"/>
      <c r="X52" s="1325"/>
      <c r="Y52" s="1325"/>
      <c r="Z52" s="1325"/>
      <c r="AA52" s="1325"/>
      <c r="AB52" s="1325"/>
      <c r="AC52" s="1325"/>
      <c r="AD52" s="1325"/>
      <c r="AE52" s="1325"/>
      <c r="AF52" s="1325"/>
      <c r="AG52" s="1325"/>
      <c r="AH52" s="1325"/>
      <c r="AI52" s="1325"/>
      <c r="AJ52" s="1325"/>
      <c r="AK52" s="1325"/>
      <c r="AM52" s="501"/>
      <c r="AN52" s="501" t="str">
        <f>IF(T52="","",T52)</f>
        <v>Добавить территорию для дифференциации</v>
      </c>
      <c r="AO52" s="501"/>
      <c r="AP52" s="501"/>
      <c r="AQ52" s="512">
        <v>0</v>
      </c>
    </row>
    <row s="1643" customFormat="1" customHeight="1" ht="0">
      <c r="A53" s="1315"/>
      <c r="B53" s="1315"/>
      <c r="C53" s="1315"/>
      <c r="D53" s="1315"/>
      <c r="E53" s="1344"/>
      <c r="F53" s="1315"/>
      <c r="G53" s="1315"/>
      <c r="H53" s="1315"/>
      <c r="I53" s="1315"/>
      <c r="J53" s="1315"/>
      <c r="K53" s="1315"/>
      <c r="L53" s="1495"/>
      <c r="M53" s="1322"/>
      <c r="N53" s="1322"/>
      <c r="P53" s="1317"/>
      <c r="Q53" s="1318"/>
      <c r="R53" s="1317"/>
      <c r="S53" s="1323"/>
      <c r="T53" s="1326" t="s">
        <v>184</v>
      </c>
      <c r="U53" s="1325"/>
      <c r="V53" s="1325"/>
      <c r="W53" s="1325"/>
      <c r="X53" s="1325"/>
      <c r="Y53" s="1325"/>
      <c r="Z53" s="1325"/>
      <c r="AA53" s="1325"/>
      <c r="AB53" s="1325"/>
      <c r="AC53" s="1325"/>
      <c r="AD53" s="1325"/>
      <c r="AE53" s="1325"/>
      <c r="AF53" s="1325"/>
      <c r="AG53" s="1325"/>
      <c r="AH53" s="1325"/>
      <c r="AI53" s="1325"/>
      <c r="AJ53" s="1325"/>
      <c r="AK53" s="1325"/>
      <c r="AM53" s="790"/>
      <c r="AN53" s="790" t="str">
        <f>IF(T53="","",T53)</f>
        <v>Добавить наименование тарифа</v>
      </c>
      <c r="AO53" s="790"/>
      <c r="AP53" s="790"/>
      <c r="AQ53" s="519">
        <v>0</v>
      </c>
    </row>
    <row customHeight="1" ht="11.549999999999999">
      <c r="M54" s="1161"/>
      <c r="N54" s="1161"/>
      <c r="O54" s="538"/>
      <c r="P54" s="1156"/>
      <c r="Q54" s="1156"/>
      <c r="R54" s="1156"/>
      <c r="S54" s="1156"/>
      <c r="AL54" s="1156"/>
      <c r="AM54" s="1156"/>
      <c r="AN54" s="1156"/>
      <c r="AO54" s="1156"/>
      <c r="AP54" s="1156"/>
      <c r="AQ54" s="1156">
        <v>11</v>
      </c>
    </row>
    <row customHeight="1" ht="14.699999999999998">
      <c r="O55" s="538"/>
      <c r="S55" s="1254"/>
      <c r="T55" s="2286"/>
      <c r="U55" s="2286"/>
      <c r="V55" s="2286"/>
      <c r="W55" s="2286"/>
      <c r="X55" s="2286"/>
      <c r="Y55" s="2286"/>
      <c r="Z55" s="2286"/>
      <c r="AA55" s="2286"/>
      <c r="AB55" s="2286"/>
      <c r="AC55" s="2286"/>
      <c r="AD55" s="2286"/>
      <c r="AE55" s="2286"/>
      <c r="AF55" s="2286"/>
      <c r="AG55" s="2286"/>
      <c r="AH55" s="2286"/>
      <c r="AI55" s="2286"/>
      <c r="AJ55" s="2286"/>
      <c r="AK55" s="2286"/>
      <c r="AQ55" s="1156">
        <v>14</v>
      </c>
    </row>
    <row customHeight="1" ht="14.699999999999998">
      <c r="O56" s="538"/>
      <c r="AQ56" s="1156">
        <v>14</v>
      </c>
    </row>
    <row customHeight="1" ht="14.699999999999998">
      <c r="O57" s="538"/>
      <c r="S57" s="1254"/>
      <c r="T57" s="2286"/>
      <c r="U57" s="2286"/>
      <c r="V57" s="2286"/>
      <c r="W57" s="2286"/>
      <c r="X57" s="2286"/>
      <c r="Y57" s="2286"/>
      <c r="Z57" s="2286"/>
      <c r="AA57" s="2286"/>
      <c r="AB57" s="2286"/>
      <c r="AC57" s="2286"/>
      <c r="AD57" s="2286"/>
      <c r="AE57" s="2286"/>
      <c r="AF57" s="2286"/>
      <c r="AG57" s="2286"/>
      <c r="AH57" s="2286"/>
      <c r="AI57" s="2286"/>
      <c r="AJ57" s="2286"/>
      <c r="AK57" s="2286"/>
      <c r="AQ57" s="1156">
        <v>14</v>
      </c>
    </row>
    <row customHeight="1" ht="22.5" hidden="1">
      <c r="A58" s="1161" t="s">
        <v>83</v>
      </c>
      <c r="B58" s="1161">
        <v>0</v>
      </c>
      <c r="C58" s="1161">
        <v>0</v>
      </c>
      <c r="D58" s="1161">
        <v>0</v>
      </c>
      <c r="E58" s="1161">
        <v>0</v>
      </c>
      <c r="F58" s="1161">
        <v>0</v>
      </c>
      <c r="G58" s="1161">
        <v>0</v>
      </c>
      <c r="H58" s="1161">
        <v>0</v>
      </c>
      <c r="I58" s="1161">
        <v>0</v>
      </c>
      <c r="J58" s="1161">
        <v>0</v>
      </c>
      <c r="K58" s="1161">
        <v>0</v>
      </c>
      <c r="L58" s="1479">
        <v>0</v>
      </c>
      <c r="M58" s="1363">
        <v>0</v>
      </c>
      <c r="N58" s="1363">
        <v>0</v>
      </c>
      <c r="O58" s="1363">
        <v>0</v>
      </c>
      <c r="P58" s="1474">
        <v>3</v>
      </c>
      <c r="Q58" s="345">
        <v>3</v>
      </c>
      <c r="R58" s="345">
        <v>3</v>
      </c>
      <c r="S58" s="582">
        <v>12</v>
      </c>
      <c r="T58" s="1156">
        <v>35</v>
      </c>
      <c r="U58" s="1156">
        <v>0</v>
      </c>
      <c r="V58" s="1156">
        <v>0</v>
      </c>
      <c r="W58" s="1156">
        <v>0</v>
      </c>
      <c r="X58" s="1156">
        <v>0</v>
      </c>
      <c r="Y58" s="1156">
        <v>0</v>
      </c>
      <c r="Z58" s="1156">
        <v>0</v>
      </c>
      <c r="AA58" s="1156">
        <v>0</v>
      </c>
      <c r="AB58" s="1156">
        <v>0</v>
      </c>
      <c r="AC58" s="1156">
        <v>24</v>
      </c>
      <c r="AD58" s="1156">
        <v>24</v>
      </c>
      <c r="AE58" s="1156">
        <v>24</v>
      </c>
      <c r="AF58" s="1156">
        <v>11</v>
      </c>
      <c r="AG58" s="1156">
        <v>3</v>
      </c>
      <c r="AH58" s="1156">
        <v>11</v>
      </c>
      <c r="AI58" s="1156">
        <v>0</v>
      </c>
      <c r="AJ58" s="1156">
        <v>4</v>
      </c>
      <c r="AK58" s="1156">
        <v>115</v>
      </c>
      <c r="AL58" s="512">
        <v>10</v>
      </c>
      <c r="AM58" s="512">
        <v>10</v>
      </c>
      <c r="AN58" s="512">
        <v>10</v>
      </c>
      <c r="AO58" s="512">
        <v>10</v>
      </c>
      <c r="AP58" s="512">
        <v>10</v>
      </c>
      <c r="AQ58" s="1156">
        <v>23</v>
      </c>
    </row>
  </sheetData>
  <sheetProtection formatColumns="0" formatRows="0" autoFilter="0" sort="0" insertRows="0" insertColumns="1" deleteRows="0" deleteColumns="0"/>
  <mergeCells count="101">
    <mergeCell ref="AK46:AK47"/>
    <mergeCell ref="T55:AK55"/>
    <mergeCell ref="T57:AK57"/>
    <mergeCell ref="K46:K47"/>
    <mergeCell ref="Y46:Y47"/>
    <mergeCell ref="Z46:Z47"/>
    <mergeCell ref="AA46:AA47"/>
    <mergeCell ref="AB46:AB47"/>
    <mergeCell ref="AF46:AF47"/>
    <mergeCell ref="Z40:AA40"/>
    <mergeCell ref="AG40:AH40"/>
    <mergeCell ref="E41:E52"/>
    <mergeCell ref="V41:AB41"/>
    <mergeCell ref="AC41:AJ41"/>
    <mergeCell ref="F42:F51"/>
    <mergeCell ref="V42:AB42"/>
    <mergeCell ref="AC42:AJ42"/>
    <mergeCell ref="G43:G50"/>
    <mergeCell ref="V43:AB43"/>
    <mergeCell ref="AC43:AJ43"/>
    <mergeCell ref="H44:H50"/>
    <mergeCell ref="I44:I49"/>
    <mergeCell ref="P44:P49"/>
    <mergeCell ref="V44:AB44"/>
    <mergeCell ref="AC44:AJ44"/>
    <mergeCell ref="J45:J48"/>
    <mergeCell ref="Q45:Q48"/>
    <mergeCell ref="V45:AB45"/>
    <mergeCell ref="AC45:AJ45"/>
    <mergeCell ref="AG46:AG47"/>
    <mergeCell ref="AH46:AH47"/>
    <mergeCell ref="AI46:AI47"/>
    <mergeCell ref="AK36:AK39"/>
    <mergeCell ref="S37:S39"/>
    <mergeCell ref="T37:T39"/>
    <mergeCell ref="V37:AA37"/>
    <mergeCell ref="AB37:AB39"/>
    <mergeCell ref="AC37:AH37"/>
    <mergeCell ref="AI37:AI39"/>
    <mergeCell ref="S32:T32"/>
    <mergeCell ref="V32:AA32"/>
    <mergeCell ref="AC32:AH32"/>
    <mergeCell ref="S33:T33"/>
    <mergeCell ref="V33:AA33"/>
    <mergeCell ref="AC33:AH33"/>
    <mergeCell ref="AJ37:AJ39"/>
    <mergeCell ref="W38:X38"/>
    <mergeCell ref="Y38:AA38"/>
    <mergeCell ref="AD38:AE38"/>
    <mergeCell ref="AF38:AH38"/>
    <mergeCell ref="Z39:AA39"/>
    <mergeCell ref="AG39:AH39"/>
    <mergeCell ref="V35:AB35"/>
    <mergeCell ref="AC35:AI35"/>
    <mergeCell ref="S36:AJ36"/>
    <mergeCell ref="S29:T29"/>
    <mergeCell ref="V29:AA29"/>
    <mergeCell ref="AC29:AH29"/>
    <mergeCell ref="S30:T30"/>
    <mergeCell ref="V30:AA30"/>
    <mergeCell ref="AC30:AH30"/>
    <mergeCell ref="S24:AH24"/>
    <mergeCell ref="S25:AH25"/>
    <mergeCell ref="S27:T27"/>
    <mergeCell ref="V27:AA27"/>
    <mergeCell ref="AC27:AH27"/>
    <mergeCell ref="S28:T28"/>
    <mergeCell ref="V28:AA28"/>
    <mergeCell ref="AC28:AH28"/>
    <mergeCell ref="AK7:AK8"/>
    <mergeCell ref="AF15:AF16"/>
    <mergeCell ref="AG15:AG16"/>
    <mergeCell ref="AH15:AH16"/>
    <mergeCell ref="AI15:AI16"/>
    <mergeCell ref="Z7:Z8"/>
    <mergeCell ref="AA7:AA8"/>
    <mergeCell ref="AB7:AB8"/>
    <mergeCell ref="AF7:AF8"/>
    <mergeCell ref="AG7:AG8"/>
    <mergeCell ref="AH7:AH8"/>
    <mergeCell ref="E2:E13"/>
    <mergeCell ref="V2:AB2"/>
    <mergeCell ref="AC2:AJ2"/>
    <mergeCell ref="F3:F12"/>
    <mergeCell ref="V3:AB3"/>
    <mergeCell ref="AC3:AJ3"/>
    <mergeCell ref="G4:G11"/>
    <mergeCell ref="V4:AB4"/>
    <mergeCell ref="AC4:AJ4"/>
    <mergeCell ref="H5:H11"/>
    <mergeCell ref="I5:I10"/>
    <mergeCell ref="P5:P10"/>
    <mergeCell ref="V5:AB5"/>
    <mergeCell ref="AC5:AJ5"/>
    <mergeCell ref="J6:J9"/>
    <mergeCell ref="Q6:Q9"/>
    <mergeCell ref="V6:AB6"/>
    <mergeCell ref="AC6:AJ6"/>
    <mergeCell ref="K7:K8"/>
    <mergeCell ref="Y7:Y8"/>
    <mergeCell ref="AI7:AI8"/>
  </mergeCells>
  <dataValidations count="8">
    <dataValidation type="list" allowBlank="1" showInputMessage="1" errorTitle="Ошибка" error="Выберите значение из списка" prompt="Выберите значение из списка" sqref="V983081:AJ983081 V65577:AJ65577 V131113:AJ131113 V196649:AJ196649 V262185:AJ262185 V327721:AJ327721 V393257:AJ393257 V458793:AJ458793 V524329:AJ524329 V589865:AJ589865 V655401:AJ655401 V720937:AJ720937 V786473:AJ786473 V852009:AJ852009 V917545:AJ917545">
      <formula1>kind_of_cons</formula1>
    </dataValidation>
    <dataValidation allowBlank="1" sqref="S131116:AK131122 S196652:AK196658 S262188:AK262194 S327724:AK327730 S393260:AK393266 S458796:AK458802 S524332:AK524338 S589868:AK589874 S655404:AK655410 S720940:AK720946 S786476:AK786482 S852012:AK852018 S917548:AK917554 S983084:AK983090 S65580:AK65586"/>
    <dataValidation allowBlank="1" showInputMessage="1" showErrorMessage="1" prompt="Для выбора выполните двойной щелчок левой клавиши мыши по соответствующей ячейке." sqref="Z65578 Z131114 Z196650 Z262186 Z327722 Z393258 Z458794 Z524330 Z589866 Z655402 Z720938 Z786474 Z852010 Z917546 Z983082 AB131114 AB458794 AB196650 AB262186 AB327722 AB393258 AB524330 AB589866 AB655402 AB720938 AB786474 AB852010 AB917546 AB983082 AB65578 AG65578 AG131114 AG196650 AG262186 AG327722 AG393258 AG458794 AG524330 AG589866 AG655402 AG720938 AG786474 AG852010 AG917546 AG983082 AI524330 AI196650 AI589866 AI655402 AI15 AI720938 AI786474 AI852010 AI917546 AI983082 AI65578 AI131114 AI458794 AI262186 AI7 AG46 AI327722 AG15 AG7 Z7 AB7 AI393258 AI46 Z46 AB46"/>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Y65578 Y131114 Y196650 Y262186 Y327722 Y393258 Y458794 Y524330 Y589866 Y655402 Y720938 Y786474 Y852010 Y917546 Y983082 AA65578 AA131114 AA196650 AA262186 AA327722 AA393258 AA458794 AA524330 AA589866 AA655402 AA720938 AA786474 AA852010 AA917546 AA983082 AF15 AF65578 AF131114 AF196650 AF262186 AF327722 AF393258 AF458794 AF524330 AF589866 AF655402 AF720938 AF786474 AF852010 AF917546 AF983082 AH65578 AH131114 AH196650 AH262186 AH327722 AH393258 AH458794 AH524330 AH589866 AH655402 AH720938 AH786474 AH852010 AH917546 AH983082 AH46 AF46 AH15 AH7 AF7 Y7 AA7 Y46 AA46"/>
    <dataValidation type="list" allowBlank="1" showInputMessage="1" showErrorMessage="1" errorTitle="Ошибка" error="Выберите значение из списка" sqref="T65578 T131114 T196650 T262186 T327722 T393258 T458794 T524330 T589866 T655402 T720938 T786474 T852010 T917546 T983082">
      <formula1>kind_of_heat_transfer</formula1>
    </dataValidation>
    <dataValidation type="textLength" operator="lessThanOrEqual" allowBlank="1" showInputMessage="1" showErrorMessage="1" errorTitle="Ошибка" error="Допускается ввод не более 900 символов!" sqref="AK65572:AK65579 AK131108:AK131115 AK196644:AK196651 AK262180:AK262187 AK327716:AK327723 AK393252:AK393259 AK458788:AK458795 AK524324:AK524331 AK589860:AK589867 AK655396:AK655403 AK720932:AK720939 AK786468:AK786475 AK852004:AK852011 AK917540:AK917547 AK983076:AK983083 T46 T7 AC5:AJ5 AC44:AJ44">
      <formula1>900</formula1>
    </dataValidation>
    <dataValidation type="list" allowBlank="1" showInputMessage="1" showErrorMessage="1" errorTitle="Ошибка" error="Выберите значение из списка" sqref="V983080 V65576 V131112 V196648 V262184 V327720 V393256 V458792 V524328 V589864 V655400 V720936 V786472 V852008 V917544 AC983080 AC65576 AC131112 AC196648 AC262184 AC327720 AC393256 AC458792 AC524328 AC589864 AC655400 AC720936 AC786472 AC852008 AC917544">
      <formula1>kind_of_scheme_in</formula1>
    </dataValidation>
    <dataValidation allowBlank="1" promptTitle="checkPeriodRange" sqref="X65579 X131115 X196651 X262187 X327723 X393259 X458795 X524331 X589867 X655403 X720939 X786475 X852011 X917547 X983083 AE16 AE65579 AE131115 AE196651 AE262187 AE327723 AE393259 AE458795 AE524331 AE589867 AE655403 AE720939 AE786475 AE852011 AE917547 AE983083 AE47 AE8 X8 X47"/>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960CECDF-6288-0E27-0A98-EA443D9C3ED8}" mc:Ignorable="x14ac xr xr2 xr3">
  <sheetPr>
    <tabColor theme="6" tint="0.4"/>
  </sheetPr>
  <dimension ref="A1:AQ58"/>
  <sheetViews>
    <sheetView showGridLines="0" zoomScale="90" workbookViewId="0">
      <pane xSplit="28" ySplit="40" topLeftCell="AC41" activePane="bottomRight" state="frozen"/>
      <selection pane="bottomLeft" activeCell="A41" sqref="A41"/>
      <selection pane="topRight" activeCell="AC1" sqref="AC1"/>
      <selection pane="bottomRight" activeCell="A1" sqref="A1"/>
    </sheetView>
  </sheetViews>
  <sheetFormatPr defaultColWidth="10.57421875" customHeight="1" defaultRowHeight="14.25"/>
  <cols>
    <col min="1" max="1" style="1367" width="10.57421875" hidden="1"/>
    <col min="2" max="2" style="1367" width="11.00390625" hidden="1" customWidth="1"/>
    <col min="3" max="3" style="1367" width="10.57421875" hidden="1"/>
    <col min="4" max="4" style="1367" width="11.8515625" hidden="1" customWidth="1"/>
    <col min="5" max="5" style="1367" width="10.00390625" hidden="1" customWidth="1"/>
    <col min="6" max="6" style="1367" width="8.7109375" hidden="1" customWidth="1"/>
    <col min="7" max="7" style="1367" width="7.57421875" hidden="1" customWidth="1"/>
    <col min="8" max="8" style="1367" width="11.421875" hidden="1" customWidth="1"/>
    <col min="9" max="9" style="1367" width="14.140625" hidden="1" customWidth="1"/>
    <col min="10" max="10" style="1367" width="9.8515625" hidden="1" customWidth="1"/>
    <col min="11" max="11" style="1367" width="14.7109375" hidden="1" customWidth="1"/>
    <col min="12" max="12" style="2608" width="19.140625" hidden="1" customWidth="1"/>
    <col min="13" max="14" style="1777" width="12.28125" hidden="1" customWidth="1"/>
    <col min="15" max="15" style="1777" width="23.421875" hidden="1" customWidth="1"/>
    <col min="16" max="16" style="2398" width="3.00390625" customWidth="1"/>
    <col min="17" max="18" style="345" width="3.00390625" customWidth="1"/>
    <col min="19" max="19" style="2408" width="12.00390625" customWidth="1"/>
    <col min="20" max="20" style="1636" width="35.00390625" customWidth="1"/>
    <col min="21" max="21" style="1636" width="0.140625" customWidth="1"/>
    <col min="22" max="24" style="1636" width="24.7109375" hidden="1" customWidth="1"/>
    <col min="25" max="25" style="1636" width="11.7109375" hidden="1" customWidth="1"/>
    <col min="26" max="26" style="1636" width="3.7109375" hidden="1" customWidth="1"/>
    <col min="27" max="27" style="1636" width="11.7109375" hidden="1" customWidth="1"/>
    <col min="28" max="28" style="1636" width="8.57421875" hidden="1" customWidth="1"/>
    <col min="29" max="29" style="1636" width="24.7109375" customWidth="1"/>
    <col min="30" max="31" style="1636" width="24.00390625" customWidth="1"/>
    <col min="32" max="32" style="1636" width="11.00390625" customWidth="1"/>
    <col min="33" max="33" style="1636" width="3.7109375" customWidth="1"/>
    <col min="34" max="34" style="1636" width="11.00390625" customWidth="1"/>
    <col min="35" max="35" style="1636" width="8.57421875" hidden="1" customWidth="1"/>
    <col min="36" max="36" style="1636" width="4.00390625" customWidth="1"/>
    <col min="37" max="37" style="1636" width="115.00390625" customWidth="1"/>
    <col min="38" max="42" style="1643" width="10.00390625" customWidth="1"/>
    <col min="43" max="43" style="1636" width="10.57421875" hidden="1"/>
  </cols>
  <sheetData>
    <row customHeight="1" ht="22.5" hidden="1">
      <c r="X1" s="328"/>
      <c r="Y1" s="328"/>
      <c r="AE1" s="328"/>
      <c r="AF1" s="328"/>
      <c r="AQ1" s="1156" t="s">
        <v>14</v>
      </c>
    </row>
    <row customHeight="1" ht="23.25" hidden="1">
      <c r="A2" s="1364"/>
      <c r="B2" s="1364"/>
      <c r="C2" s="1364"/>
      <c r="D2" s="1364"/>
      <c r="E2" s="2259">
        <v>1</v>
      </c>
      <c r="F2" s="1364"/>
      <c r="G2" s="1364"/>
      <c r="H2" s="1364"/>
      <c r="I2" s="1364"/>
      <c r="J2" s="1364"/>
      <c r="K2" s="1364"/>
      <c r="L2" s="1365"/>
      <c r="M2" s="1366"/>
      <c r="N2" s="1366"/>
      <c r="O2" s="1366"/>
      <c r="P2" s="362"/>
      <c r="Q2" s="361"/>
      <c r="R2" s="356"/>
      <c r="S2" s="1494">
        <f>INDEX(PT_DIFFERENTIATION_NUM_NTAR,MATCH(A2,PT_DIFFERENTIATION_NTAR_ID,0))</f>
      </c>
      <c r="T2" s="299" t="s">
        <v>131</v>
      </c>
      <c r="U2" s="301"/>
      <c r="V2" s="2243"/>
      <c r="W2" s="2244"/>
      <c r="X2" s="2244"/>
      <c r="Y2" s="2244"/>
      <c r="Z2" s="2244"/>
      <c r="AA2" s="2244"/>
      <c r="AB2" s="2245"/>
      <c r="AC2" s="2243">
        <f>INDEX(PT_DIFFERENTIATION_NTAR,MATCH(A2,PT_DIFFERENTIATION_NTAR_ID,0))</f>
      </c>
      <c r="AD2" s="2244"/>
      <c r="AE2" s="2244"/>
      <c r="AF2" s="2244"/>
      <c r="AG2" s="2244"/>
      <c r="AH2" s="2244"/>
      <c r="AI2" s="2244"/>
      <c r="AJ2" s="2245"/>
      <c r="AK2" s="1259"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M2" s="501"/>
      <c r="AN2" s="501" t="str">
        <f>IF(T2="","",T2)</f>
        <v>Наименование тарифа</v>
      </c>
      <c r="AO2" s="501"/>
      <c r="AP2" s="501"/>
      <c r="AQ2" s="1156">
        <v>0</v>
      </c>
    </row>
    <row customHeight="1" ht="23.25" hidden="1">
      <c r="A3" s="1364"/>
      <c r="B3" s="1364"/>
      <c r="C3" s="1364"/>
      <c r="D3" s="1364"/>
      <c r="E3" s="2260"/>
      <c r="F3" s="2259">
        <v>1</v>
      </c>
      <c r="G3" s="1364"/>
      <c r="H3" s="1364"/>
      <c r="I3" s="1364"/>
      <c r="J3" s="1364"/>
      <c r="K3" s="1364"/>
      <c r="L3" s="1365"/>
      <c r="M3" s="1366"/>
      <c r="N3" s="1366"/>
      <c r="O3" s="1366"/>
      <c r="P3" s="1488"/>
      <c r="Q3" s="353"/>
      <c r="R3" s="354"/>
      <c r="S3" s="1494">
        <f>INDEX(PT_DIFFERENTIATION_NUM_TER,MATCH(B3,PT_DIFFERENTIATION_TER_ID,0))</f>
      </c>
      <c r="T3" s="309" t="s">
        <v>414</v>
      </c>
      <c r="U3" s="301"/>
      <c r="V3" s="2243"/>
      <c r="W3" s="2244"/>
      <c r="X3" s="2244"/>
      <c r="Y3" s="2244"/>
      <c r="Z3" s="2244"/>
      <c r="AA3" s="2244"/>
      <c r="AB3" s="2245"/>
      <c r="AC3" s="2243">
        <f>INDEX(PT_DIFFERENTIATION_TER,MATCH(B3,PT_DIFFERENTIATION_TER_ID,0))</f>
      </c>
      <c r="AD3" s="2244"/>
      <c r="AE3" s="2244"/>
      <c r="AF3" s="2244"/>
      <c r="AG3" s="2244"/>
      <c r="AH3" s="2244"/>
      <c r="AI3" s="2244"/>
      <c r="AJ3" s="2245"/>
      <c r="AK3" s="1259" t="s">
        <v>415</v>
      </c>
      <c r="AM3" s="501"/>
      <c r="AN3" s="501" t="str">
        <f>IF(T3="","",T3)</f>
        <v>Территория действия тарифа</v>
      </c>
      <c r="AO3" s="501"/>
      <c r="AP3" s="501"/>
      <c r="AQ3" s="1156">
        <v>0</v>
      </c>
    </row>
    <row customHeight="1" ht="23.25" hidden="1">
      <c r="A4" s="1364"/>
      <c r="B4" s="1364"/>
      <c r="C4" s="1364"/>
      <c r="D4" s="1364"/>
      <c r="E4" s="2260"/>
      <c r="F4" s="2260"/>
      <c r="G4" s="2259">
        <v>1</v>
      </c>
      <c r="H4" s="1364"/>
      <c r="I4" s="1364"/>
      <c r="J4" s="1364"/>
      <c r="K4" s="1364"/>
      <c r="L4" s="1365"/>
      <c r="M4" s="1366"/>
      <c r="N4" s="1366"/>
      <c r="O4" s="1366"/>
      <c r="P4" s="355"/>
      <c r="Q4" s="353"/>
      <c r="R4" s="354"/>
      <c r="S4" s="1494">
        <f>INDEX(PT_DIFFERENTIATION_NUM_CS,MATCH(C4,PT_DIFFERENTIATION_CS_ID,0))</f>
      </c>
      <c r="T4" s="310" t="s">
        <v>535</v>
      </c>
      <c r="U4" s="301"/>
      <c r="V4" s="2243"/>
      <c r="W4" s="2244"/>
      <c r="X4" s="2244"/>
      <c r="Y4" s="2244"/>
      <c r="Z4" s="2244"/>
      <c r="AA4" s="2244"/>
      <c r="AB4" s="2245"/>
      <c r="AC4" s="2243">
        <f>INDEX(PT_DIFFERENTIATION_CS,MATCH(C4,PT_DIFFERENTIATION_CS_ID,0))</f>
      </c>
      <c r="AD4" s="2244"/>
      <c r="AE4" s="2244"/>
      <c r="AF4" s="2244"/>
      <c r="AG4" s="2244"/>
      <c r="AH4" s="2244"/>
      <c r="AI4" s="2244"/>
      <c r="AJ4" s="2245"/>
      <c r="AK4" s="1259" t="s">
        <v>536</v>
      </c>
      <c r="AM4" s="501"/>
      <c r="AN4" s="501" t="str">
        <f>IF(T4="","",T4)</f>
        <v>Наименование централизованной системы водоотведения</v>
      </c>
      <c r="AO4" s="501"/>
      <c r="AP4" s="501"/>
      <c r="AQ4" s="1156">
        <v>0</v>
      </c>
    </row>
    <row customHeight="1" ht="23.25" hidden="1">
      <c r="A5" s="1364"/>
      <c r="B5" s="1364"/>
      <c r="C5" s="1364"/>
      <c r="D5" s="1364"/>
      <c r="E5" s="2260"/>
      <c r="F5" s="2260"/>
      <c r="G5" s="2260"/>
      <c r="H5" s="2260"/>
      <c r="I5" s="2257">
        <f>S4&amp;".1"</f>
      </c>
      <c r="J5" s="1364"/>
      <c r="K5" s="1364"/>
      <c r="L5" s="1365"/>
      <c r="P5" s="2258">
        <v>1</v>
      </c>
      <c r="Q5" s="1482"/>
      <c r="R5" s="357"/>
      <c r="S5" s="1494">
        <f>$I5</f>
      </c>
      <c r="T5" s="286" t="s">
        <v>502</v>
      </c>
      <c r="U5" s="301"/>
      <c r="V5" s="2351"/>
      <c r="W5" s="2352"/>
      <c r="X5" s="2352"/>
      <c r="Y5" s="2352"/>
      <c r="Z5" s="2352"/>
      <c r="AA5" s="2352"/>
      <c r="AB5" s="2353"/>
      <c r="AC5" s="2354"/>
      <c r="AD5" s="2355"/>
      <c r="AE5" s="2355"/>
      <c r="AF5" s="2355"/>
      <c r="AG5" s="2355"/>
      <c r="AH5" s="2355"/>
      <c r="AI5" s="2355"/>
      <c r="AJ5" s="2356"/>
      <c r="AK5" s="1259" t="s">
        <v>503</v>
      </c>
      <c r="AM5" s="501"/>
      <c r="AN5" s="501" t="str">
        <f>IF(T5="","",T5)</f>
        <v>Наименование признака дифференциации</v>
      </c>
      <c r="AO5" s="501"/>
      <c r="AP5" s="501"/>
      <c r="AQ5" s="1156">
        <v>0</v>
      </c>
    </row>
    <row customHeight="1" ht="23.25" hidden="1">
      <c r="A6" s="1364"/>
      <c r="B6" s="1364"/>
      <c r="C6" s="1364"/>
      <c r="D6" s="1364"/>
      <c r="E6" s="2260"/>
      <c r="F6" s="2260"/>
      <c r="G6" s="2260"/>
      <c r="H6" s="2260"/>
      <c r="I6" s="2287"/>
      <c r="J6" s="2257">
        <f>I5&amp;".1"</f>
      </c>
      <c r="K6" s="1364"/>
      <c r="L6" s="1365" t="s">
        <v>423</v>
      </c>
      <c r="P6" s="2258"/>
      <c r="Q6" s="2258">
        <v>1</v>
      </c>
      <c r="R6" s="358"/>
      <c r="S6" s="1494">
        <f>$J6</f>
      </c>
      <c r="T6" s="287" t="s">
        <v>424</v>
      </c>
      <c r="U6" s="301"/>
      <c r="V6" s="2246"/>
      <c r="W6" s="2247"/>
      <c r="X6" s="2247"/>
      <c r="Y6" s="2247"/>
      <c r="Z6" s="2247"/>
      <c r="AA6" s="2247"/>
      <c r="AB6" s="2248"/>
      <c r="AC6" s="2246"/>
      <c r="AD6" s="2247"/>
      <c r="AE6" s="2247"/>
      <c r="AF6" s="2247"/>
      <c r="AG6" s="2247"/>
      <c r="AH6" s="2247"/>
      <c r="AI6" s="2247"/>
      <c r="AJ6" s="2248"/>
      <c r="AK6" s="1308" t="s">
        <v>504</v>
      </c>
      <c r="AM6" s="501"/>
      <c r="AN6" s="501" t="str">
        <f>IF(T6="","",T6)</f>
        <v>Группа потребителей</v>
      </c>
      <c r="AO6" s="501"/>
      <c r="AP6" s="501"/>
      <c r="AQ6" s="1156">
        <v>0</v>
      </c>
    </row>
    <row customHeight="1" ht="23.25" hidden="1">
      <c r="A7" s="1364"/>
      <c r="B7" s="1364"/>
      <c r="C7" s="1364"/>
      <c r="D7" s="1364"/>
      <c r="E7" s="2260"/>
      <c r="F7" s="2260"/>
      <c r="G7" s="2260"/>
      <c r="H7" s="2260"/>
      <c r="I7" s="2287"/>
      <c r="J7" s="2287"/>
      <c r="K7" s="2257">
        <f>J6&amp;".1"</f>
      </c>
      <c r="L7" s="1365"/>
      <c r="P7" s="2258"/>
      <c r="Q7" s="2258"/>
      <c r="R7" s="358">
        <v>1</v>
      </c>
      <c r="S7" s="1494">
        <f>$K7</f>
      </c>
      <c r="T7" s="1438"/>
      <c r="U7" s="301"/>
      <c r="V7" s="752"/>
      <c r="W7" s="752"/>
      <c r="X7" s="1258"/>
      <c r="Y7" s="2266"/>
      <c r="Z7" s="2108" t="s">
        <v>61</v>
      </c>
      <c r="AA7" s="2266"/>
      <c r="AB7" s="2108" t="s">
        <v>61</v>
      </c>
      <c r="AC7" s="752"/>
      <c r="AD7" s="752"/>
      <c r="AE7" s="1258"/>
      <c r="AF7" s="2266"/>
      <c r="AG7" s="2108" t="s">
        <v>61</v>
      </c>
      <c r="AH7" s="2288"/>
      <c r="AI7" s="2108" t="s">
        <v>61</v>
      </c>
      <c r="AJ7" s="1439"/>
      <c r="AK7" s="2350"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7" s="512">
        <f>STRCHECKDATE(V8:AJ8)</f>
      </c>
      <c r="AM7" s="501"/>
      <c r="AN7" s="501" t="str">
        <f>IF(T7="","",T7)</f>
        <v/>
      </c>
      <c r="AO7" s="501"/>
      <c r="AP7" s="501"/>
      <c r="AQ7" s="1156">
        <v>0</v>
      </c>
    </row>
    <row customHeight="1" ht="14.25" hidden="1">
      <c r="A8" s="1364"/>
      <c r="B8" s="1364"/>
      <c r="C8" s="1364"/>
      <c r="D8" s="1364"/>
      <c r="E8" s="2260"/>
      <c r="F8" s="2260"/>
      <c r="G8" s="2260"/>
      <c r="H8" s="2260"/>
      <c r="I8" s="2287"/>
      <c r="J8" s="2287"/>
      <c r="K8" s="2257"/>
      <c r="L8" s="1365"/>
      <c r="P8" s="2258"/>
      <c r="Q8" s="2258"/>
      <c r="R8" s="358"/>
      <c r="S8" s="1491"/>
      <c r="T8" s="301"/>
      <c r="U8" s="301"/>
      <c r="V8" s="326"/>
      <c r="W8" s="326"/>
      <c r="X8" s="329" t="str">
        <f>Y7&amp;"-"&amp;AA7</f>
        <v>-</v>
      </c>
      <c r="Y8" s="2267"/>
      <c r="Z8" s="2108"/>
      <c r="AA8" s="2267"/>
      <c r="AB8" s="2108"/>
      <c r="AC8" s="326"/>
      <c r="AD8" s="326"/>
      <c r="AE8" s="329" t="str">
        <f>AF7&amp;"-"&amp;AH7</f>
        <v>-</v>
      </c>
      <c r="AF8" s="2267"/>
      <c r="AG8" s="2108"/>
      <c r="AH8" s="2289"/>
      <c r="AI8" s="2108"/>
      <c r="AJ8" s="1440"/>
      <c r="AK8" s="2350"/>
      <c r="AM8" s="501"/>
      <c r="AN8" s="501" t="str">
        <f>IF(T8="","",T8)</f>
        <v/>
      </c>
      <c r="AO8" s="501"/>
      <c r="AP8" s="501"/>
      <c r="AQ8" s="1156">
        <v>0</v>
      </c>
    </row>
    <row customHeight="1" ht="21" hidden="1">
      <c r="A9" s="1364"/>
      <c r="B9" s="1364"/>
      <c r="C9" s="1364"/>
      <c r="D9" s="1364"/>
      <c r="E9" s="2260"/>
      <c r="F9" s="2260"/>
      <c r="G9" s="2260"/>
      <c r="H9" s="2260"/>
      <c r="I9" s="2287"/>
      <c r="J9" s="2257"/>
      <c r="K9" s="1364"/>
      <c r="L9" s="1365"/>
      <c r="P9" s="2258"/>
      <c r="Q9" s="2258"/>
      <c r="R9" s="357"/>
      <c r="S9" s="1279"/>
      <c r="T9" s="288" t="s">
        <v>505</v>
      </c>
      <c r="U9" s="368"/>
      <c r="V9" s="368"/>
      <c r="W9" s="368"/>
      <c r="X9" s="368"/>
      <c r="Y9" s="368"/>
      <c r="Z9" s="368"/>
      <c r="AA9" s="368"/>
      <c r="AB9" s="368"/>
      <c r="AC9" s="368"/>
      <c r="AD9" s="368"/>
      <c r="AE9" s="368"/>
      <c r="AF9" s="368"/>
      <c r="AG9" s="368"/>
      <c r="AH9" s="368"/>
      <c r="AI9" s="368"/>
      <c r="AJ9" s="368"/>
      <c r="AK9" s="1259" t="s">
        <v>506</v>
      </c>
      <c r="AM9" s="501"/>
      <c r="AN9" s="501" t="str">
        <f>IF(T9="","",T9)</f>
        <v>Добавить значение признака дифференциации</v>
      </c>
      <c r="AO9" s="501"/>
      <c r="AP9" s="501"/>
      <c r="AQ9" s="1156">
        <v>0</v>
      </c>
    </row>
    <row customHeight="1" ht="21" hidden="1">
      <c r="A10" s="1364"/>
      <c r="B10" s="1364"/>
      <c r="C10" s="1364"/>
      <c r="D10" s="1364"/>
      <c r="E10" s="2260"/>
      <c r="F10" s="2260"/>
      <c r="G10" s="2260"/>
      <c r="H10" s="2260"/>
      <c r="I10" s="2257"/>
      <c r="J10" s="1364"/>
      <c r="K10" s="1364"/>
      <c r="L10" s="1365"/>
      <c r="P10" s="2258"/>
      <c r="Q10" s="1482"/>
      <c r="R10" s="357"/>
      <c r="S10" s="1279"/>
      <c r="T10" s="366" t="s">
        <v>429</v>
      </c>
      <c r="U10" s="368"/>
      <c r="V10" s="368"/>
      <c r="W10" s="368"/>
      <c r="X10" s="368"/>
      <c r="Y10" s="368"/>
      <c r="Z10" s="368"/>
      <c r="AA10" s="368"/>
      <c r="AB10" s="367"/>
      <c r="AC10" s="368"/>
      <c r="AD10" s="368"/>
      <c r="AE10" s="368"/>
      <c r="AF10" s="368"/>
      <c r="AG10" s="368"/>
      <c r="AH10" s="368"/>
      <c r="AI10" s="367"/>
      <c r="AJ10" s="368"/>
      <c r="AK10" s="1441"/>
      <c r="AM10" s="501"/>
      <c r="AN10" s="501" t="str">
        <f>IF(T10="","",T10)</f>
        <v>Добавить группу потребителей</v>
      </c>
      <c r="AO10" s="501"/>
      <c r="AP10" s="501"/>
      <c r="AQ10" s="1156">
        <v>0</v>
      </c>
    </row>
    <row customHeight="1" ht="21" hidden="1">
      <c r="A11" s="1364"/>
      <c r="B11" s="1364"/>
      <c r="C11" s="1364"/>
      <c r="D11" s="1364"/>
      <c r="E11" s="2260"/>
      <c r="F11" s="2260"/>
      <c r="G11" s="2260"/>
      <c r="H11" s="2259"/>
      <c r="I11" s="1364"/>
      <c r="J11" s="1364"/>
      <c r="K11" s="1364"/>
      <c r="L11" s="1365"/>
      <c r="M11" s="1366"/>
      <c r="N11" s="1366"/>
      <c r="O11" s="538"/>
      <c r="P11" s="361"/>
      <c r="Q11" s="376"/>
      <c r="R11" s="356"/>
      <c r="S11" s="1279"/>
      <c r="T11" s="373" t="s">
        <v>507</v>
      </c>
      <c r="U11" s="368"/>
      <c r="V11" s="368"/>
      <c r="W11" s="368"/>
      <c r="X11" s="368"/>
      <c r="Y11" s="368"/>
      <c r="Z11" s="368"/>
      <c r="AA11" s="368"/>
      <c r="AB11" s="367"/>
      <c r="AC11" s="368"/>
      <c r="AD11" s="368"/>
      <c r="AE11" s="368"/>
      <c r="AF11" s="368"/>
      <c r="AG11" s="368"/>
      <c r="AH11" s="368"/>
      <c r="AI11" s="367"/>
      <c r="AJ11" s="368"/>
      <c r="AK11" s="304"/>
      <c r="AM11" s="501"/>
      <c r="AN11" s="501" t="str">
        <f>IF(T11="","",T11)</f>
        <v>Добавить наименование признака дифференциации</v>
      </c>
      <c r="AO11" s="501"/>
      <c r="AP11" s="501"/>
      <c r="AQ11" s="1156">
        <v>0</v>
      </c>
    </row>
    <row s="1643" customFormat="1" customHeight="1" ht="14.25" hidden="1">
      <c r="A12" s="1344"/>
      <c r="B12" s="1344"/>
      <c r="C12" s="1315"/>
      <c r="D12" s="1315"/>
      <c r="E12" s="2260"/>
      <c r="F12" s="2259"/>
      <c r="G12" s="1315"/>
      <c r="H12" s="1315"/>
      <c r="I12" s="1315"/>
      <c r="J12" s="1315"/>
      <c r="K12" s="1315"/>
      <c r="L12" s="1495"/>
      <c r="M12" s="1322"/>
      <c r="N12" s="1322"/>
      <c r="P12" s="1317"/>
      <c r="Q12" s="1318"/>
      <c r="R12" s="1317"/>
      <c r="S12" s="1323"/>
      <c r="T12" s="1326" t="s">
        <v>177</v>
      </c>
      <c r="U12" s="1325"/>
      <c r="V12" s="1325"/>
      <c r="W12" s="1325"/>
      <c r="X12" s="1325"/>
      <c r="Y12" s="1325"/>
      <c r="Z12" s="1325"/>
      <c r="AA12" s="1325"/>
      <c r="AB12" s="1325"/>
      <c r="AC12" s="1325"/>
      <c r="AD12" s="1325"/>
      <c r="AE12" s="1325"/>
      <c r="AF12" s="1325"/>
      <c r="AG12" s="1325"/>
      <c r="AH12" s="1325"/>
      <c r="AI12" s="1325"/>
      <c r="AJ12" s="1325"/>
      <c r="AK12" s="1325"/>
      <c r="AM12" s="790"/>
      <c r="AN12" s="790" t="str">
        <f>IF(T12="","",T12)</f>
        <v>Добавить централизованную систему для дифференциации</v>
      </c>
      <c r="AO12" s="790"/>
      <c r="AP12" s="790"/>
      <c r="AQ12" s="519">
        <v>0</v>
      </c>
    </row>
    <row s="1643" customFormat="1" customHeight="1" ht="14.25" hidden="1">
      <c r="A13" s="1344"/>
      <c r="B13" s="1344"/>
      <c r="C13" s="1344"/>
      <c r="D13" s="1344"/>
      <c r="E13" s="2259"/>
      <c r="F13" s="1344"/>
      <c r="G13" s="1344"/>
      <c r="H13" s="1344"/>
      <c r="I13" s="1344"/>
      <c r="J13" s="1344"/>
      <c r="K13" s="1344"/>
      <c r="L13" s="1347"/>
      <c r="M13" s="1322"/>
      <c r="N13" s="1322"/>
      <c r="O13" s="519"/>
      <c r="P13" s="381"/>
      <c r="Q13" s="1345"/>
      <c r="R13" s="381"/>
      <c r="S13" s="1323"/>
      <c r="T13" s="1326" t="s">
        <v>178</v>
      </c>
      <c r="U13" s="1325"/>
      <c r="V13" s="1325"/>
      <c r="W13" s="1325"/>
      <c r="X13" s="1325"/>
      <c r="Y13" s="1325"/>
      <c r="Z13" s="1325"/>
      <c r="AA13" s="1325"/>
      <c r="AB13" s="1325"/>
      <c r="AC13" s="1325"/>
      <c r="AD13" s="1325"/>
      <c r="AE13" s="1325"/>
      <c r="AF13" s="1325"/>
      <c r="AG13" s="1325"/>
      <c r="AH13" s="1325"/>
      <c r="AI13" s="1325"/>
      <c r="AJ13" s="1325"/>
      <c r="AK13" s="1325"/>
      <c r="AM13" s="501"/>
      <c r="AN13" s="501" t="str">
        <f>IF(T13="","",T13)</f>
        <v>Добавить территорию для дифференциации</v>
      </c>
      <c r="AO13" s="501"/>
      <c r="AP13" s="501"/>
      <c r="AQ13" s="512">
        <v>0</v>
      </c>
    </row>
    <row customHeight="1" ht="14.25" hidden="1">
      <c r="AB14" s="328"/>
      <c r="AI14" s="328"/>
      <c r="AQ14" s="1156">
        <v>0</v>
      </c>
    </row>
    <row customHeight="1" ht="14.25" hidden="1">
      <c r="AC15" s="1361"/>
      <c r="AD15" s="1361"/>
      <c r="AE15" s="1362"/>
      <c r="AF15" s="2268"/>
      <c r="AG15" s="2269" t="s">
        <v>61</v>
      </c>
      <c r="AH15" s="2268"/>
      <c r="AI15" s="2269" t="s">
        <v>61</v>
      </c>
      <c r="AQ15" s="1156">
        <v>0</v>
      </c>
    </row>
    <row customHeight="1" ht="14.25" hidden="1">
      <c r="AC16" s="1361"/>
      <c r="AD16" s="1361"/>
      <c r="AE16" s="329" t="str">
        <f>AF15&amp;"-"&amp;AH15</f>
        <v>-</v>
      </c>
      <c r="AF16" s="2269"/>
      <c r="AG16" s="2269"/>
      <c r="AH16" s="2269"/>
      <c r="AI16" s="2269"/>
      <c r="AQ16" s="1156">
        <v>0</v>
      </c>
    </row>
    <row customHeight="1" ht="14.25" hidden="1">
      <c r="AI17" s="328"/>
      <c r="AQ17" s="1156">
        <v>0</v>
      </c>
    </row>
    <row s="1367" customFormat="1" customHeight="1" ht="22.5" hidden="1">
      <c r="L18" s="1479"/>
      <c r="M18" s="1363"/>
      <c r="N18" s="1363"/>
      <c r="O18" s="1368" t="s">
        <v>431</v>
      </c>
      <c r="P18" s="1363"/>
      <c r="Q18" s="1372"/>
      <c r="R18" s="1372"/>
      <c r="S18" s="730"/>
      <c r="Y18" s="1368"/>
      <c r="AA18" s="1368"/>
      <c r="AB18" s="1367"/>
      <c r="AF18" s="1368"/>
      <c r="AH18" s="1368"/>
      <c r="AI18" s="1367"/>
      <c r="AL18" s="512"/>
      <c r="AM18" s="512"/>
      <c r="AN18" s="512"/>
      <c r="AO18" s="512"/>
      <c r="AP18" s="512"/>
      <c r="AQ18" s="1161">
        <v>0</v>
      </c>
    </row>
    <row s="1367" customFormat="1" customHeight="1" ht="14.25" hidden="1">
      <c r="L19" s="1479"/>
      <c r="M19" s="1363"/>
      <c r="N19" s="1363"/>
      <c r="O19" s="1363"/>
      <c r="P19" s="1363"/>
      <c r="Q19" s="1372"/>
      <c r="R19" s="1372"/>
      <c r="S19" s="730"/>
      <c r="AB19" s="1367"/>
      <c r="AI19" s="1367"/>
      <c r="AL19" s="512"/>
      <c r="AM19" s="512"/>
      <c r="AN19" s="512"/>
      <c r="AO19" s="512"/>
      <c r="AP19" s="512"/>
      <c r="AQ19" s="1161">
        <v>0</v>
      </c>
    </row>
    <row s="1367" customFormat="1" customHeight="1" ht="12" hidden="1">
      <c r="L20" s="1479"/>
      <c r="M20" s="1363"/>
      <c r="N20" s="1363"/>
      <c r="O20" s="1365" t="s">
        <v>432</v>
      </c>
      <c r="P20" s="1363"/>
      <c r="Q20" s="1443"/>
      <c r="R20" s="1443"/>
      <c r="S20" s="730"/>
      <c r="T20" s="1161" t="s">
        <v>433</v>
      </c>
      <c r="Z20" s="187" t="s">
        <v>434</v>
      </c>
      <c r="AB20" s="187" t="s">
        <v>435</v>
      </c>
      <c r="AC20" s="1161" t="s">
        <v>433</v>
      </c>
      <c r="AG20" s="187" t="s">
        <v>436</v>
      </c>
      <c r="AI20" s="187" t="s">
        <v>435</v>
      </c>
      <c r="AQ20" s="1161">
        <v>0</v>
      </c>
    </row>
    <row customHeight="1" ht="14.25" hidden="1">
      <c r="O21" s="1365"/>
      <c r="AQ21" s="1156">
        <v>0</v>
      </c>
    </row>
    <row customHeight="1" ht="14.25" hidden="1">
      <c r="O22" s="1365"/>
      <c r="AQ22" s="1156">
        <v>0</v>
      </c>
    </row>
    <row customHeight="1" ht="14.699999999999998">
      <c r="Q23" s="377"/>
      <c r="R23" s="377"/>
      <c r="S23" s="1276"/>
      <c r="T23" s="364"/>
      <c r="U23" s="364"/>
      <c r="V23" s="510"/>
      <c r="W23" s="510"/>
      <c r="X23" s="510"/>
      <c r="Y23" s="510"/>
      <c r="Z23" s="510"/>
      <c r="AA23" s="510"/>
      <c r="AB23" s="510"/>
      <c r="AC23" s="510"/>
      <c r="AD23" s="510"/>
      <c r="AE23" s="510"/>
      <c r="AF23" s="510"/>
      <c r="AG23" s="510"/>
      <c r="AH23" s="510"/>
      <c r="AI23" s="510"/>
      <c r="AQ23" s="1156">
        <v>14</v>
      </c>
    </row>
    <row customHeight="1" ht="14.699999999999998">
      <c r="Q24" s="377"/>
      <c r="R24" s="377"/>
      <c r="S24" s="2249" t="str">
        <f>IF(TEMPLATE_GROUP="P",PT_P_FORM_VOTV_4_NAME_FORM,PT_R_FORM_VOTV_16_NAME_FORM)</f>
        <v>Форма 13. Информация о предложении организации водоотведения об установлении расчетной величины тарифов в сфере водоотведения на очередной период регулирования</v>
      </c>
      <c r="T24" s="2249"/>
      <c r="U24" s="2249"/>
      <c r="V24" s="2249"/>
      <c r="W24" s="2249"/>
      <c r="X24" s="2249"/>
      <c r="Y24" s="2249"/>
      <c r="Z24" s="2249"/>
      <c r="AA24" s="2249"/>
      <c r="AB24" s="2249"/>
      <c r="AC24" s="2249"/>
      <c r="AD24" s="2249"/>
      <c r="AE24" s="2249"/>
      <c r="AF24" s="2249"/>
      <c r="AG24" s="2249"/>
      <c r="AH24" s="2249"/>
      <c r="AI24" s="1244"/>
      <c r="AQ24" s="1156">
        <v>14</v>
      </c>
    </row>
    <row customHeight="1" ht="14.699999999999998">
      <c r="Q25" s="377"/>
      <c r="R25" s="377"/>
      <c r="S25" s="2250" t="str">
        <f>IF(org=0,"Не определено",org)</f>
        <v>ПАО "КГК"</v>
      </c>
      <c r="T25" s="2250"/>
      <c r="U25" s="2250"/>
      <c r="V25" s="2250"/>
      <c r="W25" s="2250"/>
      <c r="X25" s="2250"/>
      <c r="Y25" s="2250"/>
      <c r="Z25" s="2250"/>
      <c r="AA25" s="2250"/>
      <c r="AB25" s="2250"/>
      <c r="AC25" s="2250"/>
      <c r="AD25" s="2250"/>
      <c r="AE25" s="2250"/>
      <c r="AF25" s="2250"/>
      <c r="AG25" s="2250"/>
      <c r="AH25" s="2250"/>
      <c r="AI25" s="1244"/>
      <c r="AQ25" s="1156">
        <v>14</v>
      </c>
    </row>
    <row customHeight="1" ht="14.25" hidden="1">
      <c r="Q26" s="377"/>
      <c r="R26" s="377"/>
      <c r="S26" s="1276"/>
      <c r="T26" s="364"/>
      <c r="U26" s="364"/>
      <c r="V26" s="323"/>
      <c r="W26" s="323"/>
      <c r="X26" s="323"/>
      <c r="Y26" s="323"/>
      <c r="Z26" s="323"/>
      <c r="AA26" s="323"/>
      <c r="AB26" s="323"/>
      <c r="AC26" s="323"/>
      <c r="AD26" s="323"/>
      <c r="AE26" s="323"/>
      <c r="AF26" s="323"/>
      <c r="AG26" s="323"/>
      <c r="AH26" s="323"/>
      <c r="AI26" s="323"/>
      <c r="AJ26" s="510"/>
      <c r="AQ26" s="1156">
        <v>0</v>
      </c>
    </row>
    <row s="1854" customFormat="1" customHeight="1" ht="25.5" hidden="1">
      <c r="A27" s="1369"/>
      <c r="B27" s="1369"/>
      <c r="C27" s="1369"/>
      <c r="D27" s="1369"/>
      <c r="E27" s="1369"/>
      <c r="F27" s="1369"/>
      <c r="G27" s="1369"/>
      <c r="H27" s="1369"/>
      <c r="I27" s="1369"/>
      <c r="J27" s="1369"/>
      <c r="K27" s="1369"/>
      <c r="L27" s="1370"/>
      <c r="M27" s="1369"/>
      <c r="N27" s="1369"/>
      <c r="O27" s="1369"/>
      <c r="S27" s="2251" t="s">
        <v>42</v>
      </c>
      <c r="T27" s="2251"/>
      <c r="U27" s="1373"/>
      <c r="V27" s="2252" t="str">
        <f>IF(TITLE_NAME_OR_PR_CHANGE="",IF(TITLE_NAME_OR_PR="","",TITLE_NAME_OR_PR),TITLE_NAME_OR_PR_CHANGE)</f>
        <v/>
      </c>
      <c r="W27" s="2252"/>
      <c r="X27" s="2252"/>
      <c r="Y27" s="2252"/>
      <c r="Z27" s="2252"/>
      <c r="AA27" s="2252"/>
      <c r="AB27" s="327"/>
      <c r="AC27" s="2252" t="str">
        <f>IF(TITLE_NAME_OR_PR_CHANGE="",IF(TITLE_NAME_OR_PR="","",TITLE_NAME_OR_PR),TITLE_NAME_OR_PR_CHANGE)</f>
        <v/>
      </c>
      <c r="AD27" s="2252"/>
      <c r="AE27" s="2252"/>
      <c r="AF27" s="2252"/>
      <c r="AG27" s="2252"/>
      <c r="AH27" s="2252"/>
      <c r="AI27" s="327"/>
      <c r="AJ27" s="327"/>
      <c r="AK27" s="281"/>
      <c r="AL27" s="369"/>
      <c r="AM27" s="369"/>
      <c r="AN27" s="369"/>
      <c r="AO27" s="369"/>
      <c r="AP27" s="369"/>
      <c r="AQ27" s="419">
        <v>0</v>
      </c>
    </row>
    <row s="1854" customFormat="1" customHeight="1" ht="18.75" hidden="1">
      <c r="A28" s="1369"/>
      <c r="B28" s="1369"/>
      <c r="C28" s="1369"/>
      <c r="D28" s="1369"/>
      <c r="E28" s="1369"/>
      <c r="F28" s="1369"/>
      <c r="G28" s="1369"/>
      <c r="H28" s="1369"/>
      <c r="I28" s="1369"/>
      <c r="J28" s="1369"/>
      <c r="K28" s="1369"/>
      <c r="L28" s="1370"/>
      <c r="M28" s="1369"/>
      <c r="N28" s="1369"/>
      <c r="O28" s="1369"/>
      <c r="S28" s="2251" t="s">
        <v>437</v>
      </c>
      <c r="T28" s="2251"/>
      <c r="U28" s="1373"/>
      <c r="V28" s="2265" t="str">
        <f>IF(TITLE_DATE_PR_CHANGE="",IF(TITLE_DATE_PR="","",TITLE_DATE_PR),TITLE_DATE_PR_CHANGE)</f>
        <v>46142</v>
      </c>
      <c r="W28" s="2265"/>
      <c r="X28" s="2265"/>
      <c r="Y28" s="2265"/>
      <c r="Z28" s="2265"/>
      <c r="AA28" s="2265"/>
      <c r="AB28" s="327"/>
      <c r="AC28" s="2265" t="str">
        <f>IF(TITLE_DATE_PR_CHANGE="",IF(TITLE_DATE_PR="","",TITLE_DATE_PR),TITLE_DATE_PR_CHANGE)</f>
        <v>46142</v>
      </c>
      <c r="AD28" s="2265"/>
      <c r="AE28" s="2265"/>
      <c r="AF28" s="2265"/>
      <c r="AG28" s="2265"/>
      <c r="AH28" s="2265"/>
      <c r="AI28" s="327"/>
      <c r="AJ28" s="327"/>
      <c r="AK28" s="281"/>
      <c r="AL28" s="369"/>
      <c r="AM28" s="369"/>
      <c r="AN28" s="369"/>
      <c r="AO28" s="369"/>
      <c r="AP28" s="369"/>
      <c r="AQ28" s="419">
        <v>0</v>
      </c>
    </row>
    <row s="1854" customFormat="1" customHeight="1" ht="18.75" hidden="1">
      <c r="A29" s="1369"/>
      <c r="B29" s="1369"/>
      <c r="C29" s="1369"/>
      <c r="D29" s="1369"/>
      <c r="E29" s="1369"/>
      <c r="F29" s="1369"/>
      <c r="G29" s="1369"/>
      <c r="H29" s="1369"/>
      <c r="I29" s="1369"/>
      <c r="J29" s="1369"/>
      <c r="K29" s="1369"/>
      <c r="L29" s="1370"/>
      <c r="M29" s="1369"/>
      <c r="N29" s="1369"/>
      <c r="O29" s="1369"/>
      <c r="S29" s="2251" t="s">
        <v>438</v>
      </c>
      <c r="T29" s="2251"/>
      <c r="U29" s="1373"/>
      <c r="V29" s="2252" t="str">
        <f>IF(TITLE_NUMBER_PR_CHANGE="",IF(TITLE_NUMBER_PR="","",TITLE_NUMBER_PR),TITLE_NUMBER_PR_CHANGE)</f>
        <v>206Т</v>
      </c>
      <c r="W29" s="2252"/>
      <c r="X29" s="2252"/>
      <c r="Y29" s="2252"/>
      <c r="Z29" s="2252"/>
      <c r="AA29" s="2252"/>
      <c r="AB29" s="327"/>
      <c r="AC29" s="2252" t="str">
        <f>IF(TITLE_NUMBER_PR_CHANGE="",IF(TITLE_NUMBER_PR="","",TITLE_NUMBER_PR),TITLE_NUMBER_PR_CHANGE)</f>
        <v>206Т</v>
      </c>
      <c r="AD29" s="2252"/>
      <c r="AE29" s="2252"/>
      <c r="AF29" s="2252"/>
      <c r="AG29" s="2252"/>
      <c r="AH29" s="2252"/>
      <c r="AI29" s="327"/>
      <c r="AJ29" s="327"/>
      <c r="AK29" s="281"/>
      <c r="AL29" s="369"/>
      <c r="AM29" s="369"/>
      <c r="AN29" s="369"/>
      <c r="AO29" s="369"/>
      <c r="AP29" s="369"/>
      <c r="AQ29" s="419">
        <v>0</v>
      </c>
    </row>
    <row s="1854" customFormat="1" customHeight="1" ht="18.75" hidden="1">
      <c r="A30" s="1369"/>
      <c r="B30" s="1369"/>
      <c r="C30" s="1369"/>
      <c r="D30" s="1369"/>
      <c r="E30" s="1369"/>
      <c r="F30" s="1369"/>
      <c r="G30" s="1369"/>
      <c r="H30" s="1369"/>
      <c r="I30" s="1369"/>
      <c r="J30" s="1369"/>
      <c r="K30" s="1369"/>
      <c r="L30" s="1370"/>
      <c r="M30" s="1369"/>
      <c r="N30" s="1369"/>
      <c r="O30" s="1369"/>
      <c r="S30" s="2251" t="s">
        <v>43</v>
      </c>
      <c r="T30" s="2251"/>
      <c r="U30" s="1373"/>
      <c r="V30" s="2252" t="str">
        <f>IF(TITLE_IST_PUB_CHANGE="",IF(TITLE_IST_PUB="","",TITLE_IST_PUB),TITLE_IST_PUB_CHANGE)</f>
        <v/>
      </c>
      <c r="W30" s="2252"/>
      <c r="X30" s="2252"/>
      <c r="Y30" s="2252"/>
      <c r="Z30" s="2252"/>
      <c r="AA30" s="2252"/>
      <c r="AB30" s="327"/>
      <c r="AC30" s="2252" t="str">
        <f>IF(TITLE_IST_PUB_CHANGE="",IF(TITLE_IST_PUB="","",TITLE_IST_PUB),TITLE_IST_PUB_CHANGE)</f>
        <v/>
      </c>
      <c r="AD30" s="2252"/>
      <c r="AE30" s="2252"/>
      <c r="AF30" s="2252"/>
      <c r="AG30" s="2252"/>
      <c r="AH30" s="2252"/>
      <c r="AI30" s="327"/>
      <c r="AJ30" s="327"/>
      <c r="AK30" s="281"/>
      <c r="AL30" s="369"/>
      <c r="AM30" s="369"/>
      <c r="AN30" s="369"/>
      <c r="AO30" s="369"/>
      <c r="AP30" s="369"/>
      <c r="AQ30" s="419">
        <v>0</v>
      </c>
    </row>
    <row customHeight="1" ht="14.25">
      <c r="Q31" s="377"/>
      <c r="R31" s="377"/>
      <c r="S31" s="1276"/>
      <c r="T31" s="364"/>
      <c r="U31" s="364"/>
      <c r="V31" s="323"/>
      <c r="W31" s="323"/>
      <c r="X31" s="323"/>
      <c r="Y31" s="323"/>
      <c r="Z31" s="323"/>
      <c r="AA31" s="323"/>
      <c r="AB31" s="323"/>
      <c r="AC31" s="323"/>
      <c r="AD31" s="323"/>
      <c r="AE31" s="323"/>
      <c r="AF31" s="323"/>
      <c r="AG31" s="323"/>
      <c r="AH31" s="323"/>
      <c r="AI31" s="323"/>
      <c r="AJ31" s="510"/>
      <c r="AQ31" s="1156">
        <v>0</v>
      </c>
    </row>
    <row s="1854" customFormat="1" customHeight="1" ht="18.75">
      <c r="A32" s="1369"/>
      <c r="B32" s="1369"/>
      <c r="C32" s="1369"/>
      <c r="D32" s="1369"/>
      <c r="E32" s="1369"/>
      <c r="F32" s="1369"/>
      <c r="G32" s="1369"/>
      <c r="H32" s="1369"/>
      <c r="I32" s="1369"/>
      <c r="J32" s="1369"/>
      <c r="K32" s="1369"/>
      <c r="L32" s="1370"/>
      <c r="M32" s="1369"/>
      <c r="N32" s="1369"/>
      <c r="O32" s="1369"/>
      <c r="S32" s="2251" t="s">
        <v>439</v>
      </c>
      <c r="T32" s="2251"/>
      <c r="U32" s="1373"/>
      <c r="V32" s="2265" t="str">
        <f>IF(TITLE_DATE_PR_CHANGE="",IF(TITLE_DATE_PR="","",TITLE_DATE_PR),TITLE_DATE_PR_CHANGE)</f>
        <v>46142</v>
      </c>
      <c r="W32" s="2265"/>
      <c r="X32" s="2265"/>
      <c r="Y32" s="2265"/>
      <c r="Z32" s="2265"/>
      <c r="AA32" s="2265"/>
      <c r="AB32" s="327"/>
      <c r="AC32" s="2265" t="str">
        <f>IF(TITLE_DATE_PR_CHANGE="",IF(TITLE_DATE_PR="","",TITLE_DATE_PR),TITLE_DATE_PR_CHANGE)</f>
        <v>46142</v>
      </c>
      <c r="AD32" s="2265"/>
      <c r="AE32" s="2265"/>
      <c r="AF32" s="2265"/>
      <c r="AG32" s="2265"/>
      <c r="AH32" s="2265"/>
      <c r="AI32" s="327"/>
      <c r="AJ32" s="327"/>
      <c r="AK32" s="281"/>
      <c r="AL32" s="369"/>
      <c r="AM32" s="369"/>
      <c r="AN32" s="369"/>
      <c r="AO32" s="369"/>
      <c r="AP32" s="369"/>
      <c r="AQ32" s="419">
        <v>0</v>
      </c>
    </row>
    <row s="1854" customFormat="1" customHeight="1" ht="18.75">
      <c r="A33" s="1369"/>
      <c r="B33" s="1369"/>
      <c r="C33" s="1369"/>
      <c r="D33" s="1369"/>
      <c r="E33" s="1369"/>
      <c r="F33" s="1369"/>
      <c r="G33" s="1369"/>
      <c r="H33" s="1369"/>
      <c r="I33" s="1369"/>
      <c r="J33" s="1369"/>
      <c r="K33" s="1369"/>
      <c r="L33" s="1370"/>
      <c r="M33" s="1369"/>
      <c r="N33" s="1369"/>
      <c r="O33" s="1369"/>
      <c r="S33" s="2251" t="s">
        <v>440</v>
      </c>
      <c r="T33" s="2251"/>
      <c r="U33" s="1373"/>
      <c r="V33" s="2252" t="str">
        <f>IF(TITLE_NUMBER_PR_CHANGE="",IF(TITLE_NUMBER_PR="","",TITLE_NUMBER_PR),TITLE_NUMBER_PR_CHANGE)</f>
        <v>206Т</v>
      </c>
      <c r="W33" s="2252"/>
      <c r="X33" s="2252"/>
      <c r="Y33" s="2252"/>
      <c r="Z33" s="2252"/>
      <c r="AA33" s="2252"/>
      <c r="AB33" s="327"/>
      <c r="AC33" s="2252" t="str">
        <f>IF(TITLE_NUMBER_PR_CHANGE="",IF(TITLE_NUMBER_PR="","",TITLE_NUMBER_PR),TITLE_NUMBER_PR_CHANGE)</f>
        <v>206Т</v>
      </c>
      <c r="AD33" s="2252"/>
      <c r="AE33" s="2252"/>
      <c r="AF33" s="2252"/>
      <c r="AG33" s="2252"/>
      <c r="AH33" s="2252"/>
      <c r="AI33" s="327"/>
      <c r="AJ33" s="327"/>
      <c r="AK33" s="281"/>
      <c r="AL33" s="369"/>
      <c r="AM33" s="369"/>
      <c r="AN33" s="369"/>
      <c r="AO33" s="369"/>
      <c r="AP33" s="369"/>
      <c r="AQ33" s="419">
        <v>0</v>
      </c>
    </row>
    <row s="1854" customFormat="1" customHeight="1" ht="1.05">
      <c r="A34" s="1369"/>
      <c r="B34" s="1369"/>
      <c r="C34" s="1369"/>
      <c r="D34" s="1369"/>
      <c r="E34" s="1369"/>
      <c r="F34" s="1369"/>
      <c r="G34" s="1369"/>
      <c r="H34" s="1369"/>
      <c r="I34" s="1369"/>
      <c r="J34" s="1369"/>
      <c r="K34" s="1369"/>
      <c r="L34" s="1370"/>
      <c r="M34" s="1369"/>
      <c r="N34" s="1369"/>
      <c r="O34" s="1369"/>
      <c r="S34" s="324"/>
      <c r="T34" s="324"/>
      <c r="U34" s="1489"/>
      <c r="V34" s="327"/>
      <c r="W34" s="327"/>
      <c r="X34" s="327"/>
      <c r="Y34" s="327"/>
      <c r="Z34" s="327"/>
      <c r="AA34" s="327"/>
      <c r="AB34" s="279" t="s">
        <v>441</v>
      </c>
      <c r="AC34" s="327"/>
      <c r="AD34" s="327"/>
      <c r="AE34" s="327"/>
      <c r="AF34" s="327"/>
      <c r="AG34" s="327"/>
      <c r="AH34" s="327"/>
      <c r="AI34" s="279" t="s">
        <v>441</v>
      </c>
      <c r="AL34" s="369"/>
      <c r="AM34" s="369"/>
      <c r="AN34" s="369"/>
      <c r="AO34" s="369"/>
      <c r="AP34" s="369"/>
      <c r="AQ34" s="419">
        <v>1</v>
      </c>
    </row>
    <row customHeight="1" ht="14.699999999999998">
      <c r="Q35" s="377"/>
      <c r="R35" s="377"/>
      <c r="S35" s="1276"/>
      <c r="T35" s="364"/>
      <c r="U35" s="1245"/>
      <c r="V35" s="2253"/>
      <c r="W35" s="2253"/>
      <c r="X35" s="2253"/>
      <c r="Y35" s="2253"/>
      <c r="Z35" s="2253"/>
      <c r="AA35" s="2253"/>
      <c r="AB35" s="2253"/>
      <c r="AC35" s="2253"/>
      <c r="AD35" s="2253"/>
      <c r="AE35" s="2253"/>
      <c r="AF35" s="2253"/>
      <c r="AG35" s="2253"/>
      <c r="AH35" s="2253"/>
      <c r="AI35" s="2253"/>
      <c r="AQ35" s="1156">
        <v>14</v>
      </c>
    </row>
    <row customHeight="1" ht="14.699999999999998">
      <c r="Q36" s="377"/>
      <c r="R36" s="377"/>
      <c r="S36" s="2128" t="s">
        <v>317</v>
      </c>
      <c r="T36" s="2128"/>
      <c r="U36" s="2128"/>
      <c r="V36" s="2128"/>
      <c r="W36" s="2128"/>
      <c r="X36" s="2128"/>
      <c r="Y36" s="2128"/>
      <c r="Z36" s="2128"/>
      <c r="AA36" s="2128"/>
      <c r="AB36" s="2128"/>
      <c r="AC36" s="2128"/>
      <c r="AD36" s="2128"/>
      <c r="AE36" s="2128"/>
      <c r="AF36" s="2128"/>
      <c r="AG36" s="2128"/>
      <c r="AH36" s="2128"/>
      <c r="AI36" s="2128"/>
      <c r="AJ36" s="2128"/>
      <c r="AK36" s="2128" t="s">
        <v>318</v>
      </c>
      <c r="AQ36" s="1156">
        <v>14</v>
      </c>
    </row>
    <row customHeight="1" ht="14.699999999999998">
      <c r="Q37" s="377"/>
      <c r="R37" s="377"/>
      <c r="S37" s="2274" t="s">
        <v>89</v>
      </c>
      <c r="T37" s="2210" t="s">
        <v>442</v>
      </c>
      <c r="U37" s="302"/>
      <c r="V37" s="2275" t="s">
        <v>443</v>
      </c>
      <c r="W37" s="2276"/>
      <c r="X37" s="2276"/>
      <c r="Y37" s="2276"/>
      <c r="Z37" s="2276"/>
      <c r="AA37" s="2277"/>
      <c r="AB37" s="2278" t="s">
        <v>444</v>
      </c>
      <c r="AC37" s="2275" t="s">
        <v>443</v>
      </c>
      <c r="AD37" s="2276"/>
      <c r="AE37" s="2276"/>
      <c r="AF37" s="2276"/>
      <c r="AG37" s="2276"/>
      <c r="AH37" s="2277"/>
      <c r="AI37" s="2278" t="s">
        <v>445</v>
      </c>
      <c r="AJ37" s="2281" t="s">
        <v>446</v>
      </c>
      <c r="AK37" s="2128"/>
      <c r="AQ37" s="1156">
        <v>14</v>
      </c>
    </row>
    <row customHeight="1" ht="35.699999999999996">
      <c r="Q38" s="377"/>
      <c r="R38" s="377"/>
      <c r="S38" s="2274"/>
      <c r="T38" s="2210"/>
      <c r="U38" s="1032"/>
      <c r="V38" s="1484" t="s">
        <v>508</v>
      </c>
      <c r="W38" s="2263" t="s">
        <v>449</v>
      </c>
      <c r="X38" s="2264"/>
      <c r="Y38" s="2263" t="s">
        <v>450</v>
      </c>
      <c r="Z38" s="2270"/>
      <c r="AA38" s="2264"/>
      <c r="AB38" s="2279"/>
      <c r="AC38" s="1484" t="s">
        <v>508</v>
      </c>
      <c r="AD38" s="2263" t="s">
        <v>449</v>
      </c>
      <c r="AE38" s="2264"/>
      <c r="AF38" s="2263" t="s">
        <v>450</v>
      </c>
      <c r="AG38" s="2270"/>
      <c r="AH38" s="2264"/>
      <c r="AI38" s="2279"/>
      <c r="AJ38" s="2282"/>
      <c r="AK38" s="2128"/>
      <c r="AQ38" s="1156">
        <v>34</v>
      </c>
    </row>
    <row customHeight="1" ht="90.3">
      <c r="A39" s="1371"/>
      <c r="B39" s="1371" t="s">
        <v>143</v>
      </c>
      <c r="C39" s="1371" t="s">
        <v>144</v>
      </c>
      <c r="D39" s="1371" t="s">
        <v>145</v>
      </c>
      <c r="E39" s="1365" t="s">
        <v>451</v>
      </c>
      <c r="F39" s="1365" t="s">
        <v>452</v>
      </c>
      <c r="G39" s="1365" t="s">
        <v>453</v>
      </c>
      <c r="H39" s="1365"/>
      <c r="I39" s="1365" t="s">
        <v>509</v>
      </c>
      <c r="J39" s="1365" t="s">
        <v>456</v>
      </c>
      <c r="K39" s="1365" t="s">
        <v>510</v>
      </c>
      <c r="L39" s="1365" t="s">
        <v>432</v>
      </c>
      <c r="Q39" s="377"/>
      <c r="R39" s="377"/>
      <c r="S39" s="2274"/>
      <c r="T39" s="2210"/>
      <c r="U39" s="303"/>
      <c r="V39" s="1484" t="s">
        <v>537</v>
      </c>
      <c r="W39" s="1223" t="s">
        <v>538</v>
      </c>
      <c r="X39" s="1223" t="s">
        <v>513</v>
      </c>
      <c r="Y39" s="1490" t="s">
        <v>460</v>
      </c>
      <c r="Z39" s="2271" t="s">
        <v>461</v>
      </c>
      <c r="AA39" s="2272"/>
      <c r="AB39" s="2280"/>
      <c r="AC39" s="1484" t="s">
        <v>537</v>
      </c>
      <c r="AD39" s="1223" t="s">
        <v>538</v>
      </c>
      <c r="AE39" s="1223" t="s">
        <v>513</v>
      </c>
      <c r="AF39" s="1490" t="s">
        <v>460</v>
      </c>
      <c r="AG39" s="2271" t="s">
        <v>461</v>
      </c>
      <c r="AH39" s="2272"/>
      <c r="AI39" s="2280"/>
      <c r="AJ39" s="2283"/>
      <c r="AK39" s="2128"/>
      <c r="AQ39" s="1156">
        <v>86</v>
      </c>
    </row>
    <row s="1642" customFormat="1" customHeight="1" ht="0">
      <c r="A40" s="1371"/>
      <c r="B40" s="1371"/>
      <c r="C40" s="1371"/>
      <c r="D40" s="1371"/>
      <c r="E40" s="1371"/>
      <c r="F40" s="1371"/>
      <c r="G40" s="1371"/>
      <c r="H40" s="1371"/>
      <c r="I40" s="1371"/>
      <c r="J40" s="1371"/>
      <c r="K40" s="1371"/>
      <c r="L40" s="1365"/>
      <c r="M40" s="1363"/>
      <c r="N40" s="1363"/>
      <c r="O40" s="1363"/>
      <c r="P40" s="1247"/>
      <c r="Q40" s="1248"/>
      <c r="R40" s="1255">
        <v>1</v>
      </c>
      <c r="S40" s="1278" t="s">
        <v>118</v>
      </c>
      <c r="T40" s="1256" t="s">
        <v>103</v>
      </c>
      <c r="U40" s="1246" t="str">
        <f>OFFSET(U40,0,-1)</f>
        <v>2</v>
      </c>
      <c r="V40" s="1483">
        <f>OFFSET(V40,0,-1)+1</f>
        <v>3</v>
      </c>
      <c r="W40" s="1483">
        <f>OFFSET(W40,0,-1)+1</f>
        <v>4</v>
      </c>
      <c r="X40" s="1483">
        <f>OFFSET(X40,0,-1)+1</f>
        <v>5</v>
      </c>
      <c r="Y40" s="1483">
        <f>OFFSET(Y40,0,-1)+1</f>
        <v>6</v>
      </c>
      <c r="Z40" s="2273">
        <f>OFFSET(Z40,0,-1)+1</f>
        <v>7</v>
      </c>
      <c r="AA40" s="2273"/>
      <c r="AB40" s="1483">
        <f>OFFSET(AB40,0,-2)+1</f>
        <v>8</v>
      </c>
      <c r="AC40" s="1483">
        <f>OFFSET(AC40,0,-1)+1</f>
        <v>9</v>
      </c>
      <c r="AD40" s="1483">
        <f>OFFSET(AD40,0,-1)+1</f>
        <v>10</v>
      </c>
      <c r="AE40" s="1483">
        <f>OFFSET(AE40,0,-1)+1</f>
        <v>11</v>
      </c>
      <c r="AF40" s="1483">
        <f>OFFSET(AF40,0,-1)+1</f>
        <v>12</v>
      </c>
      <c r="AG40" s="2273">
        <f>OFFSET(AG40,0,-1)+1</f>
        <v>13</v>
      </c>
      <c r="AH40" s="2273"/>
      <c r="AI40" s="1483">
        <f>OFFSET(AI40,0,-2)+1</f>
        <v>14</v>
      </c>
      <c r="AJ40" s="1246">
        <f>OFFSET(AJ40,0,-1)</f>
        <v>14</v>
      </c>
      <c r="AK40" s="1483">
        <f>OFFSET(AK40,0,-1)+1</f>
        <v>15</v>
      </c>
      <c r="AL40" s="512"/>
      <c r="AM40" s="512"/>
      <c r="AN40" s="512"/>
      <c r="AO40" s="512"/>
      <c r="AP40" s="512"/>
      <c r="AQ40" s="497">
        <v>0</v>
      </c>
    </row>
    <row customHeight="1" ht="24">
      <c r="A41" s="1364" t="s">
        <v>288</v>
      </c>
      <c r="B41" s="1364"/>
      <c r="C41" s="1364"/>
      <c r="D41" s="1364"/>
      <c r="E41" s="2259">
        <v>1</v>
      </c>
      <c r="F41" s="1364"/>
      <c r="G41" s="1364"/>
      <c r="H41" s="1364"/>
      <c r="I41" s="1364"/>
      <c r="J41" s="1364"/>
      <c r="K41" s="1364"/>
      <c r="L41" s="1365"/>
      <c r="M41" s="1366"/>
      <c r="N41" s="1366"/>
      <c r="O41" s="1366"/>
      <c r="P41" s="362"/>
      <c r="Q41" s="361"/>
      <c r="R41" s="356"/>
      <c r="S41" s="1494">
        <f>INDEX(PT_DIFFERENTIATION_NUM_NTAR,MATCH(A41,PT_DIFFERENTIATION_NTAR_ID,0))</f>
        <v>0</v>
      </c>
      <c r="T41" s="299" t="s">
        <v>131</v>
      </c>
      <c r="U41" s="301"/>
      <c r="V41" s="2243"/>
      <c r="W41" s="2244"/>
      <c r="X41" s="2244"/>
      <c r="Y41" s="2244"/>
      <c r="Z41" s="2244"/>
      <c r="AA41" s="2244"/>
      <c r="AB41" s="2245"/>
      <c r="AC41" s="2243" t="str">
        <f>INDEX(PT_DIFFERENTIATION_NTAR,MATCH(A41,PT_DIFFERENTIATION_NTAR_ID,0))</f>
        <v/>
      </c>
      <c r="AD41" s="2244"/>
      <c r="AE41" s="2244"/>
      <c r="AF41" s="2244"/>
      <c r="AG41" s="2244"/>
      <c r="AH41" s="2244"/>
      <c r="AI41" s="2244"/>
      <c r="AJ41" s="2245"/>
      <c r="AK41" s="1259"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M41" s="501"/>
      <c r="AN41" s="501" t="str">
        <f>IF(T41="","",T41)</f>
        <v>Наименование тарифа</v>
      </c>
      <c r="AO41" s="501"/>
      <c r="AP41" s="501"/>
      <c r="AQ41" s="1156">
        <v>23</v>
      </c>
    </row>
    <row customHeight="1" ht="24">
      <c r="A42" s="1364" t="s">
        <v>288</v>
      </c>
      <c r="B42" s="1364" t="s">
        <v>289</v>
      </c>
      <c r="C42" s="1364"/>
      <c r="D42" s="1364"/>
      <c r="E42" s="2260"/>
      <c r="F42" s="2259">
        <v>1</v>
      </c>
      <c r="G42" s="1364"/>
      <c r="H42" s="1364"/>
      <c r="I42" s="1364"/>
      <c r="J42" s="1364"/>
      <c r="K42" s="1364"/>
      <c r="L42" s="1365"/>
      <c r="M42" s="1366"/>
      <c r="N42" s="1366"/>
      <c r="O42" s="1366"/>
      <c r="P42" s="1488"/>
      <c r="Q42" s="353"/>
      <c r="R42" s="354"/>
      <c r="S42" s="1494" t="str">
        <f>INDEX(PT_DIFFERENTIATION_NUM_TER,MATCH(B42,PT_DIFFERENTIATION_TER_ID,0))</f>
        <v>.</v>
      </c>
      <c r="T42" s="309" t="s">
        <v>414</v>
      </c>
      <c r="U42" s="301"/>
      <c r="V42" s="2243"/>
      <c r="W42" s="2244"/>
      <c r="X42" s="2244"/>
      <c r="Y42" s="2244"/>
      <c r="Z42" s="2244"/>
      <c r="AA42" s="2244"/>
      <c r="AB42" s="2245"/>
      <c r="AC42" s="2243" t="str">
        <f>INDEX(PT_DIFFERENTIATION_TER,MATCH(B42,PT_DIFFERENTIATION_TER_ID,0))</f>
        <v/>
      </c>
      <c r="AD42" s="2244"/>
      <c r="AE42" s="2244"/>
      <c r="AF42" s="2244"/>
      <c r="AG42" s="2244"/>
      <c r="AH42" s="2244"/>
      <c r="AI42" s="2244"/>
      <c r="AJ42" s="2245"/>
      <c r="AK42" s="1259" t="s">
        <v>415</v>
      </c>
      <c r="AM42" s="501"/>
      <c r="AN42" s="501" t="str">
        <f>IF(T42="","",T42)</f>
        <v>Территория действия тарифа</v>
      </c>
      <c r="AO42" s="501"/>
      <c r="AP42" s="501"/>
      <c r="AQ42" s="1156">
        <v>23</v>
      </c>
    </row>
    <row customHeight="1" ht="24">
      <c r="A43" s="1364" t="s">
        <v>288</v>
      </c>
      <c r="B43" s="1364" t="s">
        <v>289</v>
      </c>
      <c r="C43" s="1364" t="s">
        <v>290</v>
      </c>
      <c r="D43" s="1364"/>
      <c r="E43" s="2260"/>
      <c r="F43" s="2260"/>
      <c r="G43" s="2259">
        <v>1</v>
      </c>
      <c r="H43" s="1364"/>
      <c r="I43" s="1364"/>
      <c r="J43" s="1364"/>
      <c r="K43" s="1364"/>
      <c r="L43" s="1365"/>
      <c r="M43" s="1366"/>
      <c r="N43" s="1366"/>
      <c r="O43" s="1366"/>
      <c r="P43" s="355"/>
      <c r="Q43" s="353"/>
      <c r="R43" s="354"/>
      <c r="S43" s="1494" t="str">
        <f>INDEX(PT_DIFFERENTIATION_NUM_CS,MATCH(C43,PT_DIFFERENTIATION_CS_ID,0))</f>
        <v>..</v>
      </c>
      <c r="T43" s="310" t="s">
        <v>535</v>
      </c>
      <c r="U43" s="301"/>
      <c r="V43" s="2243"/>
      <c r="W43" s="2244"/>
      <c r="X43" s="2244"/>
      <c r="Y43" s="2244"/>
      <c r="Z43" s="2244"/>
      <c r="AA43" s="2244"/>
      <c r="AB43" s="2245"/>
      <c r="AC43" s="2243" t="str">
        <f>INDEX(PT_DIFFERENTIATION_CS,MATCH(C43,PT_DIFFERENTIATION_CS_ID,0))</f>
        <v/>
      </c>
      <c r="AD43" s="2244"/>
      <c r="AE43" s="2244"/>
      <c r="AF43" s="2244"/>
      <c r="AG43" s="2244"/>
      <c r="AH43" s="2244"/>
      <c r="AI43" s="2244"/>
      <c r="AJ43" s="2245"/>
      <c r="AK43" s="1259" t="s">
        <v>536</v>
      </c>
      <c r="AM43" s="501"/>
      <c r="AN43" s="501" t="str">
        <f>IF(T43="","",T43)</f>
        <v>Наименование централизованной системы водоотведения</v>
      </c>
      <c r="AO43" s="501"/>
      <c r="AP43" s="501"/>
      <c r="AQ43" s="1156">
        <v>23</v>
      </c>
    </row>
    <row customHeight="1" ht="24">
      <c r="A44" s="1364" t="s">
        <v>288</v>
      </c>
      <c r="B44" s="1364" t="s">
        <v>289</v>
      </c>
      <c r="C44" s="1364" t="s">
        <v>290</v>
      </c>
      <c r="D44" s="1364" t="s">
        <v>540</v>
      </c>
      <c r="E44" s="2260"/>
      <c r="F44" s="2260"/>
      <c r="G44" s="2260"/>
      <c r="H44" s="2260"/>
      <c r="I44" s="2257" t="str">
        <f>S43&amp;".1"</f>
        <v>...1</v>
      </c>
      <c r="J44" s="1364"/>
      <c r="K44" s="1364"/>
      <c r="L44" s="1365"/>
      <c r="P44" s="2258">
        <v>1</v>
      </c>
      <c r="Q44" s="1482"/>
      <c r="R44" s="357"/>
      <c r="S44" s="1494" t="str">
        <f>$I44</f>
        <v>...1</v>
      </c>
      <c r="T44" s="286" t="s">
        <v>502</v>
      </c>
      <c r="U44" s="301"/>
      <c r="V44" s="2351"/>
      <c r="W44" s="2352"/>
      <c r="X44" s="2352"/>
      <c r="Y44" s="2352"/>
      <c r="Z44" s="2352"/>
      <c r="AA44" s="2352"/>
      <c r="AB44" s="2353"/>
      <c r="AC44" s="2354"/>
      <c r="AD44" s="2355"/>
      <c r="AE44" s="2355"/>
      <c r="AF44" s="2355"/>
      <c r="AG44" s="2355"/>
      <c r="AH44" s="2355"/>
      <c r="AI44" s="2355"/>
      <c r="AJ44" s="2356"/>
      <c r="AK44" s="1259" t="s">
        <v>503</v>
      </c>
      <c r="AM44" s="501"/>
      <c r="AN44" s="501" t="str">
        <f>IF(T44="","",T44)</f>
        <v>Наименование признака дифференциации</v>
      </c>
      <c r="AO44" s="501"/>
      <c r="AP44" s="501"/>
      <c r="AQ44" s="1156">
        <v>23</v>
      </c>
    </row>
    <row customHeight="1" ht="24">
      <c r="A45" s="1364" t="s">
        <v>288</v>
      </c>
      <c r="B45" s="1364" t="s">
        <v>289</v>
      </c>
      <c r="C45" s="1364" t="s">
        <v>290</v>
      </c>
      <c r="D45" s="1364" t="s">
        <v>540</v>
      </c>
      <c r="E45" s="2260"/>
      <c r="F45" s="2260"/>
      <c r="G45" s="2260"/>
      <c r="H45" s="2260"/>
      <c r="I45" s="2287"/>
      <c r="J45" s="2257" t="str">
        <f>I44&amp;".1"</f>
        <v>...1.1</v>
      </c>
      <c r="K45" s="1364"/>
      <c r="L45" s="1365" t="s">
        <v>423</v>
      </c>
      <c r="P45" s="2258"/>
      <c r="Q45" s="2258">
        <v>1</v>
      </c>
      <c r="R45" s="358"/>
      <c r="S45" s="1494" t="str">
        <f>$J45</f>
        <v>...1.1</v>
      </c>
      <c r="T45" s="287" t="s">
        <v>424</v>
      </c>
      <c r="U45" s="301"/>
      <c r="V45" s="2246"/>
      <c r="W45" s="2247"/>
      <c r="X45" s="2247"/>
      <c r="Y45" s="2247"/>
      <c r="Z45" s="2247"/>
      <c r="AA45" s="2247"/>
      <c r="AB45" s="2248"/>
      <c r="AC45" s="2246"/>
      <c r="AD45" s="2247"/>
      <c r="AE45" s="2247"/>
      <c r="AF45" s="2247"/>
      <c r="AG45" s="2247"/>
      <c r="AH45" s="2247"/>
      <c r="AI45" s="2247"/>
      <c r="AJ45" s="2248"/>
      <c r="AK45" s="1308" t="s">
        <v>504</v>
      </c>
      <c r="AM45" s="501"/>
      <c r="AN45" s="501" t="str">
        <f>IF(T45="","",T45)</f>
        <v>Группа потребителей</v>
      </c>
      <c r="AO45" s="501"/>
      <c r="AP45" s="501"/>
      <c r="AQ45" s="1156">
        <v>23</v>
      </c>
    </row>
    <row customHeight="1" ht="24">
      <c r="A46" s="1364" t="s">
        <v>288</v>
      </c>
      <c r="B46" s="1364" t="s">
        <v>289</v>
      </c>
      <c r="C46" s="1364" t="s">
        <v>290</v>
      </c>
      <c r="D46" s="1364" t="s">
        <v>540</v>
      </c>
      <c r="E46" s="2260"/>
      <c r="F46" s="2260"/>
      <c r="G46" s="2260"/>
      <c r="H46" s="2260"/>
      <c r="I46" s="2287"/>
      <c r="J46" s="2287"/>
      <c r="K46" s="2257" t="str">
        <f>J45&amp;".1"</f>
        <v>...1.1.1</v>
      </c>
      <c r="L46" s="1365"/>
      <c r="P46" s="2258"/>
      <c r="Q46" s="2258"/>
      <c r="R46" s="358">
        <v>1</v>
      </c>
      <c r="S46" s="1494" t="str">
        <f>$K46</f>
        <v>...1.1.1</v>
      </c>
      <c r="T46" s="1438"/>
      <c r="U46" s="301"/>
      <c r="V46" s="1361"/>
      <c r="W46" s="1361"/>
      <c r="X46" s="1362"/>
      <c r="Y46" s="2268"/>
      <c r="Z46" s="2269" t="s">
        <v>61</v>
      </c>
      <c r="AA46" s="2268"/>
      <c r="AB46" s="2269" t="s">
        <v>61</v>
      </c>
      <c r="AC46" s="752"/>
      <c r="AD46" s="752"/>
      <c r="AE46" s="1258"/>
      <c r="AF46" s="2266"/>
      <c r="AG46" s="2108" t="s">
        <v>61</v>
      </c>
      <c r="AH46" s="2288"/>
      <c r="AI46" s="2108" t="s">
        <v>19</v>
      </c>
      <c r="AJ46" s="1439"/>
      <c r="AK46" s="2350"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46" s="512">
        <f>STRCHECKDATE(V47:AJ47)</f>
      </c>
      <c r="AM46" s="501"/>
      <c r="AN46" s="501" t="str">
        <f>IF(T46="","",T46)</f>
        <v/>
      </c>
      <c r="AO46" s="501"/>
      <c r="AP46" s="501"/>
      <c r="AQ46" s="1156">
        <v>23</v>
      </c>
    </row>
    <row customHeight="1" ht="0">
      <c r="A47" s="1364" t="s">
        <v>288</v>
      </c>
      <c r="B47" s="1364" t="s">
        <v>289</v>
      </c>
      <c r="C47" s="1364" t="s">
        <v>290</v>
      </c>
      <c r="D47" s="1364" t="s">
        <v>540</v>
      </c>
      <c r="E47" s="2260"/>
      <c r="F47" s="2260"/>
      <c r="G47" s="2260"/>
      <c r="H47" s="2260"/>
      <c r="I47" s="2287"/>
      <c r="J47" s="2287"/>
      <c r="K47" s="2257"/>
      <c r="L47" s="1365"/>
      <c r="P47" s="2258"/>
      <c r="Q47" s="2258"/>
      <c r="R47" s="358"/>
      <c r="S47" s="1491"/>
      <c r="T47" s="301"/>
      <c r="U47" s="301"/>
      <c r="V47" s="1361"/>
      <c r="W47" s="1361"/>
      <c r="X47" s="329" t="str">
        <f>Y46&amp;"-"&amp;AA46</f>
        <v>-</v>
      </c>
      <c r="Y47" s="2269"/>
      <c r="Z47" s="2269"/>
      <c r="AA47" s="2269"/>
      <c r="AB47" s="2269"/>
      <c r="AC47" s="326"/>
      <c r="AD47" s="326"/>
      <c r="AE47" s="329" t="str">
        <f>AF46&amp;"-"&amp;AH46</f>
        <v>-</v>
      </c>
      <c r="AF47" s="2267"/>
      <c r="AG47" s="2108"/>
      <c r="AH47" s="2289"/>
      <c r="AI47" s="2108"/>
      <c r="AJ47" s="1440"/>
      <c r="AK47" s="2350"/>
      <c r="AM47" s="501"/>
      <c r="AN47" s="501" t="str">
        <f>IF(T47="","",T47)</f>
        <v/>
      </c>
      <c r="AO47" s="501"/>
      <c r="AP47" s="501"/>
      <c r="AQ47" s="1156">
        <v>0</v>
      </c>
    </row>
    <row customHeight="1" ht="21">
      <c r="A48" s="1364" t="s">
        <v>288</v>
      </c>
      <c r="B48" s="1364" t="s">
        <v>289</v>
      </c>
      <c r="C48" s="1364" t="s">
        <v>290</v>
      </c>
      <c r="D48" s="1364" t="s">
        <v>540</v>
      </c>
      <c r="E48" s="2260"/>
      <c r="F48" s="2260"/>
      <c r="G48" s="2260"/>
      <c r="H48" s="2260"/>
      <c r="I48" s="2287"/>
      <c r="J48" s="2257"/>
      <c r="K48" s="1364"/>
      <c r="L48" s="1365"/>
      <c r="P48" s="2258"/>
      <c r="Q48" s="2258"/>
      <c r="R48" s="357"/>
      <c r="S48" s="1279"/>
      <c r="T48" s="288" t="s">
        <v>505</v>
      </c>
      <c r="U48" s="368"/>
      <c r="V48" s="368"/>
      <c r="W48" s="368"/>
      <c r="X48" s="368"/>
      <c r="Y48" s="368"/>
      <c r="Z48" s="368"/>
      <c r="AA48" s="368"/>
      <c r="AB48" s="368"/>
      <c r="AC48" s="368"/>
      <c r="AD48" s="368"/>
      <c r="AE48" s="368"/>
      <c r="AF48" s="368"/>
      <c r="AG48" s="368"/>
      <c r="AH48" s="368"/>
      <c r="AI48" s="368"/>
      <c r="AJ48" s="368"/>
      <c r="AK48" s="1259" t="s">
        <v>506</v>
      </c>
      <c r="AM48" s="501"/>
      <c r="AN48" s="501" t="str">
        <f>IF(T48="","",T48)</f>
        <v>Добавить значение признака дифференциации</v>
      </c>
      <c r="AO48" s="501"/>
      <c r="AP48" s="501"/>
      <c r="AQ48" s="1156">
        <v>20</v>
      </c>
    </row>
    <row customHeight="1" ht="22.049999999999997">
      <c r="A49" s="1364" t="s">
        <v>288</v>
      </c>
      <c r="B49" s="1364" t="s">
        <v>289</v>
      </c>
      <c r="C49" s="1364" t="s">
        <v>290</v>
      </c>
      <c r="D49" s="1364" t="s">
        <v>540</v>
      </c>
      <c r="E49" s="2260"/>
      <c r="F49" s="2260"/>
      <c r="G49" s="2260"/>
      <c r="H49" s="2260"/>
      <c r="I49" s="2257"/>
      <c r="J49" s="1364"/>
      <c r="K49" s="1364"/>
      <c r="L49" s="1365"/>
      <c r="P49" s="2258"/>
      <c r="Q49" s="1482"/>
      <c r="R49" s="357"/>
      <c r="S49" s="1279"/>
      <c r="T49" s="366" t="s">
        <v>429</v>
      </c>
      <c r="U49" s="368"/>
      <c r="V49" s="368"/>
      <c r="W49" s="368"/>
      <c r="X49" s="368"/>
      <c r="Y49" s="368"/>
      <c r="Z49" s="368"/>
      <c r="AA49" s="368"/>
      <c r="AB49" s="367"/>
      <c r="AC49" s="368"/>
      <c r="AD49" s="368"/>
      <c r="AE49" s="368"/>
      <c r="AF49" s="368"/>
      <c r="AG49" s="368"/>
      <c r="AH49" s="368"/>
      <c r="AI49" s="367"/>
      <c r="AJ49" s="368"/>
      <c r="AK49" s="1441"/>
      <c r="AM49" s="501"/>
      <c r="AN49" s="501" t="str">
        <f>IF(T49="","",T49)</f>
        <v>Добавить группу потребителей</v>
      </c>
      <c r="AO49" s="501"/>
      <c r="AP49" s="501"/>
      <c r="AQ49" s="1156">
        <v>21</v>
      </c>
    </row>
    <row customHeight="1" ht="22.049999999999997">
      <c r="A50" s="1364" t="s">
        <v>288</v>
      </c>
      <c r="B50" s="1364" t="s">
        <v>289</v>
      </c>
      <c r="C50" s="1364" t="s">
        <v>290</v>
      </c>
      <c r="D50" s="1364" t="s">
        <v>540</v>
      </c>
      <c r="E50" s="2260"/>
      <c r="F50" s="2260"/>
      <c r="G50" s="2260"/>
      <c r="H50" s="2259"/>
      <c r="I50" s="1364"/>
      <c r="J50" s="1364"/>
      <c r="K50" s="1364"/>
      <c r="L50" s="1365"/>
      <c r="M50" s="1366"/>
      <c r="N50" s="1366"/>
      <c r="O50" s="538"/>
      <c r="P50" s="361"/>
      <c r="Q50" s="376"/>
      <c r="R50" s="356"/>
      <c r="S50" s="1279"/>
      <c r="T50" s="373" t="s">
        <v>507</v>
      </c>
      <c r="U50" s="368"/>
      <c r="V50" s="368"/>
      <c r="W50" s="368"/>
      <c r="X50" s="368"/>
      <c r="Y50" s="368"/>
      <c r="Z50" s="368"/>
      <c r="AA50" s="368"/>
      <c r="AB50" s="367"/>
      <c r="AC50" s="368"/>
      <c r="AD50" s="368"/>
      <c r="AE50" s="368"/>
      <c r="AF50" s="368"/>
      <c r="AG50" s="368"/>
      <c r="AH50" s="368"/>
      <c r="AI50" s="367"/>
      <c r="AJ50" s="368"/>
      <c r="AK50" s="304"/>
      <c r="AM50" s="501"/>
      <c r="AN50" s="501" t="str">
        <f>IF(T50="","",T50)</f>
        <v>Добавить наименование признака дифференциации</v>
      </c>
      <c r="AO50" s="501"/>
      <c r="AP50" s="501"/>
      <c r="AQ50" s="1156">
        <v>21</v>
      </c>
    </row>
    <row s="1643" customFormat="1" customHeight="1" ht="0">
      <c r="A51" s="1344" t="s">
        <v>288</v>
      </c>
      <c r="B51" s="1344" t="s">
        <v>289</v>
      </c>
      <c r="C51" s="1315"/>
      <c r="D51" s="1315"/>
      <c r="E51" s="2260"/>
      <c r="F51" s="2259"/>
      <c r="G51" s="1315"/>
      <c r="H51" s="1315"/>
      <c r="I51" s="1315"/>
      <c r="J51" s="1315"/>
      <c r="K51" s="1315"/>
      <c r="L51" s="1495"/>
      <c r="M51" s="1322"/>
      <c r="N51" s="1322"/>
      <c r="P51" s="1317"/>
      <c r="Q51" s="1318"/>
      <c r="R51" s="1317"/>
      <c r="S51" s="1323"/>
      <c r="T51" s="1326" t="s">
        <v>177</v>
      </c>
      <c r="U51" s="1325"/>
      <c r="V51" s="1325"/>
      <c r="W51" s="1325"/>
      <c r="X51" s="1325"/>
      <c r="Y51" s="1325"/>
      <c r="Z51" s="1325"/>
      <c r="AA51" s="1325"/>
      <c r="AB51" s="1325"/>
      <c r="AC51" s="1325"/>
      <c r="AD51" s="1325"/>
      <c r="AE51" s="1325"/>
      <c r="AF51" s="1325"/>
      <c r="AG51" s="1325"/>
      <c r="AH51" s="1325"/>
      <c r="AI51" s="1325"/>
      <c r="AJ51" s="1325"/>
      <c r="AK51" s="1325"/>
      <c r="AM51" s="790"/>
      <c r="AN51" s="790" t="str">
        <f>IF(T51="","",T51)</f>
        <v>Добавить централизованную систему для дифференциации</v>
      </c>
      <c r="AO51" s="790"/>
      <c r="AP51" s="790"/>
      <c r="AQ51" s="519">
        <v>0</v>
      </c>
    </row>
    <row s="1643" customFormat="1" customHeight="1" ht="0">
      <c r="A52" s="1344" t="s">
        <v>288</v>
      </c>
      <c r="B52" s="1344"/>
      <c r="C52" s="1344"/>
      <c r="D52" s="1344"/>
      <c r="E52" s="2259"/>
      <c r="F52" s="1344"/>
      <c r="G52" s="1344"/>
      <c r="H52" s="1344"/>
      <c r="I52" s="1344"/>
      <c r="J52" s="1344"/>
      <c r="K52" s="1344"/>
      <c r="L52" s="1347"/>
      <c r="M52" s="1322"/>
      <c r="N52" s="1322"/>
      <c r="O52" s="519"/>
      <c r="P52" s="381"/>
      <c r="Q52" s="1345"/>
      <c r="R52" s="381"/>
      <c r="S52" s="1323"/>
      <c r="T52" s="1326" t="s">
        <v>178</v>
      </c>
      <c r="U52" s="1325"/>
      <c r="V52" s="1325"/>
      <c r="W52" s="1325"/>
      <c r="X52" s="1325"/>
      <c r="Y52" s="1325"/>
      <c r="Z52" s="1325"/>
      <c r="AA52" s="1325"/>
      <c r="AB52" s="1325"/>
      <c r="AC52" s="1325"/>
      <c r="AD52" s="1325"/>
      <c r="AE52" s="1325"/>
      <c r="AF52" s="1325"/>
      <c r="AG52" s="1325"/>
      <c r="AH52" s="1325"/>
      <c r="AI52" s="1325"/>
      <c r="AJ52" s="1325"/>
      <c r="AK52" s="1325"/>
      <c r="AM52" s="501"/>
      <c r="AN52" s="501" t="str">
        <f>IF(T52="","",T52)</f>
        <v>Добавить территорию для дифференциации</v>
      </c>
      <c r="AO52" s="501"/>
      <c r="AP52" s="501"/>
      <c r="AQ52" s="512">
        <v>0</v>
      </c>
    </row>
    <row s="1643" customFormat="1" customHeight="1" ht="0">
      <c r="A53" s="1315"/>
      <c r="B53" s="1315"/>
      <c r="C53" s="1315"/>
      <c r="D53" s="1315"/>
      <c r="E53" s="1344"/>
      <c r="F53" s="1315"/>
      <c r="G53" s="1315"/>
      <c r="H53" s="1315"/>
      <c r="I53" s="1315"/>
      <c r="J53" s="1315"/>
      <c r="K53" s="1315"/>
      <c r="L53" s="1495"/>
      <c r="M53" s="1322"/>
      <c r="N53" s="1322"/>
      <c r="P53" s="1317"/>
      <c r="Q53" s="1318"/>
      <c r="R53" s="1317"/>
      <c r="S53" s="1323"/>
      <c r="T53" s="1326" t="s">
        <v>184</v>
      </c>
      <c r="U53" s="1325"/>
      <c r="V53" s="1325"/>
      <c r="W53" s="1325"/>
      <c r="X53" s="1325"/>
      <c r="Y53" s="1325"/>
      <c r="Z53" s="1325"/>
      <c r="AA53" s="1325"/>
      <c r="AB53" s="1325"/>
      <c r="AC53" s="1325"/>
      <c r="AD53" s="1325"/>
      <c r="AE53" s="1325"/>
      <c r="AF53" s="1325"/>
      <c r="AG53" s="1325"/>
      <c r="AH53" s="1325"/>
      <c r="AI53" s="1325"/>
      <c r="AJ53" s="1325"/>
      <c r="AK53" s="1325"/>
      <c r="AM53" s="790"/>
      <c r="AN53" s="790" t="str">
        <f>IF(T53="","",T53)</f>
        <v>Добавить наименование тарифа</v>
      </c>
      <c r="AO53" s="790"/>
      <c r="AP53" s="790"/>
      <c r="AQ53" s="519">
        <v>0</v>
      </c>
    </row>
    <row customHeight="1" ht="11.549999999999999">
      <c r="M54" s="1161"/>
      <c r="N54" s="1161"/>
      <c r="O54" s="538"/>
      <c r="P54" s="1156"/>
      <c r="Q54" s="1156"/>
      <c r="R54" s="1156"/>
      <c r="S54" s="1156"/>
      <c r="AL54" s="1156"/>
      <c r="AM54" s="1156"/>
      <c r="AN54" s="1156"/>
      <c r="AO54" s="1156"/>
      <c r="AP54" s="1156"/>
      <c r="AQ54" s="1156">
        <v>11</v>
      </c>
    </row>
    <row customHeight="1" ht="14.699999999999998">
      <c r="O55" s="538"/>
      <c r="S55" s="1254"/>
      <c r="T55" s="2286"/>
      <c r="U55" s="2286"/>
      <c r="V55" s="2286"/>
      <c r="W55" s="2286"/>
      <c r="X55" s="2286"/>
      <c r="Y55" s="2286"/>
      <c r="Z55" s="2286"/>
      <c r="AA55" s="2286"/>
      <c r="AB55" s="2286"/>
      <c r="AC55" s="2286"/>
      <c r="AD55" s="2286"/>
      <c r="AE55" s="2286"/>
      <c r="AF55" s="2286"/>
      <c r="AG55" s="2286"/>
      <c r="AH55" s="2286"/>
      <c r="AI55" s="2286"/>
      <c r="AJ55" s="2286"/>
      <c r="AK55" s="2286"/>
      <c r="AQ55" s="1156">
        <v>14</v>
      </c>
    </row>
    <row customHeight="1" ht="14.699999999999998">
      <c r="O56" s="538"/>
      <c r="AQ56" s="1156">
        <v>14</v>
      </c>
    </row>
    <row customHeight="1" ht="14.699999999999998">
      <c r="O57" s="538"/>
      <c r="S57" s="1254"/>
      <c r="T57" s="2286"/>
      <c r="U57" s="2286"/>
      <c r="V57" s="2286"/>
      <c r="W57" s="2286"/>
      <c r="X57" s="2286"/>
      <c r="Y57" s="2286"/>
      <c r="Z57" s="2286"/>
      <c r="AA57" s="2286"/>
      <c r="AB57" s="2286"/>
      <c r="AC57" s="2286"/>
      <c r="AD57" s="2286"/>
      <c r="AE57" s="2286"/>
      <c r="AF57" s="2286"/>
      <c r="AG57" s="2286"/>
      <c r="AH57" s="2286"/>
      <c r="AI57" s="2286"/>
      <c r="AJ57" s="2286"/>
      <c r="AK57" s="2286"/>
      <c r="AQ57" s="1156">
        <v>14</v>
      </c>
    </row>
    <row customHeight="1" ht="22.5" hidden="1">
      <c r="A58" s="1161" t="s">
        <v>83</v>
      </c>
      <c r="B58" s="1161">
        <v>0</v>
      </c>
      <c r="C58" s="1161">
        <v>0</v>
      </c>
      <c r="D58" s="1161">
        <v>0</v>
      </c>
      <c r="E58" s="1161">
        <v>0</v>
      </c>
      <c r="F58" s="1161">
        <v>0</v>
      </c>
      <c r="G58" s="1161">
        <v>0</v>
      </c>
      <c r="H58" s="1161">
        <v>0</v>
      </c>
      <c r="I58" s="1161">
        <v>0</v>
      </c>
      <c r="J58" s="1161">
        <v>0</v>
      </c>
      <c r="K58" s="1161">
        <v>0</v>
      </c>
      <c r="L58" s="1479">
        <v>0</v>
      </c>
      <c r="M58" s="1363">
        <v>0</v>
      </c>
      <c r="N58" s="1363">
        <v>0</v>
      </c>
      <c r="O58" s="1363">
        <v>0</v>
      </c>
      <c r="P58" s="1474">
        <v>3</v>
      </c>
      <c r="Q58" s="345">
        <v>3</v>
      </c>
      <c r="R58" s="345">
        <v>3</v>
      </c>
      <c r="S58" s="582">
        <v>12</v>
      </c>
      <c r="T58" s="1156">
        <v>35</v>
      </c>
      <c r="U58" s="1156">
        <v>0</v>
      </c>
      <c r="V58" s="1156">
        <v>0</v>
      </c>
      <c r="W58" s="1156">
        <v>0</v>
      </c>
      <c r="X58" s="1156">
        <v>0</v>
      </c>
      <c r="Y58" s="1156">
        <v>0</v>
      </c>
      <c r="Z58" s="1156">
        <v>0</v>
      </c>
      <c r="AA58" s="1156">
        <v>0</v>
      </c>
      <c r="AB58" s="1156">
        <v>0</v>
      </c>
      <c r="AC58" s="1156">
        <v>24</v>
      </c>
      <c r="AD58" s="1156">
        <v>24</v>
      </c>
      <c r="AE58" s="1156">
        <v>24</v>
      </c>
      <c r="AF58" s="1156">
        <v>11</v>
      </c>
      <c r="AG58" s="1156">
        <v>3</v>
      </c>
      <c r="AH58" s="1156">
        <v>11</v>
      </c>
      <c r="AI58" s="1156">
        <v>0</v>
      </c>
      <c r="AJ58" s="1156">
        <v>4</v>
      </c>
      <c r="AK58" s="1156">
        <v>115</v>
      </c>
      <c r="AL58" s="512">
        <v>10</v>
      </c>
      <c r="AM58" s="512">
        <v>10</v>
      </c>
      <c r="AN58" s="512">
        <v>10</v>
      </c>
      <c r="AO58" s="512">
        <v>10</v>
      </c>
      <c r="AP58" s="512">
        <v>10</v>
      </c>
      <c r="AQ58" s="1156">
        <v>23</v>
      </c>
    </row>
  </sheetData>
  <sheetProtection formatColumns="0" formatRows="0" autoFilter="0" sort="0" insertRows="0" insertColumns="1" deleteRows="0" deleteColumns="0"/>
  <mergeCells count="101">
    <mergeCell ref="AK46:AK47"/>
    <mergeCell ref="T55:AK55"/>
    <mergeCell ref="T57:AK57"/>
    <mergeCell ref="K46:K47"/>
    <mergeCell ref="Y46:Y47"/>
    <mergeCell ref="Z46:Z47"/>
    <mergeCell ref="AA46:AA47"/>
    <mergeCell ref="AB46:AB47"/>
    <mergeCell ref="AF46:AF47"/>
    <mergeCell ref="Z40:AA40"/>
    <mergeCell ref="AG40:AH40"/>
    <mergeCell ref="E41:E52"/>
    <mergeCell ref="V41:AB41"/>
    <mergeCell ref="AC41:AJ41"/>
    <mergeCell ref="F42:F51"/>
    <mergeCell ref="V42:AB42"/>
    <mergeCell ref="AC42:AJ42"/>
    <mergeCell ref="G43:G50"/>
    <mergeCell ref="V43:AB43"/>
    <mergeCell ref="AC43:AJ43"/>
    <mergeCell ref="H44:H50"/>
    <mergeCell ref="I44:I49"/>
    <mergeCell ref="P44:P49"/>
    <mergeCell ref="V44:AB44"/>
    <mergeCell ref="AC44:AJ44"/>
    <mergeCell ref="J45:J48"/>
    <mergeCell ref="Q45:Q48"/>
    <mergeCell ref="V45:AB45"/>
    <mergeCell ref="AC45:AJ45"/>
    <mergeCell ref="AG46:AG47"/>
    <mergeCell ref="AH46:AH47"/>
    <mergeCell ref="AI46:AI47"/>
    <mergeCell ref="AK36:AK39"/>
    <mergeCell ref="S37:S39"/>
    <mergeCell ref="T37:T39"/>
    <mergeCell ref="V37:AA37"/>
    <mergeCell ref="AB37:AB39"/>
    <mergeCell ref="AC37:AH37"/>
    <mergeCell ref="AI37:AI39"/>
    <mergeCell ref="S32:T32"/>
    <mergeCell ref="V32:AA32"/>
    <mergeCell ref="AC32:AH32"/>
    <mergeCell ref="S33:T33"/>
    <mergeCell ref="V33:AA33"/>
    <mergeCell ref="AC33:AH33"/>
    <mergeCell ref="AJ37:AJ39"/>
    <mergeCell ref="W38:X38"/>
    <mergeCell ref="Y38:AA38"/>
    <mergeCell ref="AD38:AE38"/>
    <mergeCell ref="AF38:AH38"/>
    <mergeCell ref="Z39:AA39"/>
    <mergeCell ref="AG39:AH39"/>
    <mergeCell ref="V35:AB35"/>
    <mergeCell ref="AC35:AI35"/>
    <mergeCell ref="S36:AJ36"/>
    <mergeCell ref="S29:T29"/>
    <mergeCell ref="V29:AA29"/>
    <mergeCell ref="AC29:AH29"/>
    <mergeCell ref="S30:T30"/>
    <mergeCell ref="V30:AA30"/>
    <mergeCell ref="AC30:AH30"/>
    <mergeCell ref="S24:AH24"/>
    <mergeCell ref="S25:AH25"/>
    <mergeCell ref="S27:T27"/>
    <mergeCell ref="V27:AA27"/>
    <mergeCell ref="AC27:AH27"/>
    <mergeCell ref="S28:T28"/>
    <mergeCell ref="V28:AA28"/>
    <mergeCell ref="AC28:AH28"/>
    <mergeCell ref="AK7:AK8"/>
    <mergeCell ref="AF15:AF16"/>
    <mergeCell ref="AG15:AG16"/>
    <mergeCell ref="AH15:AH16"/>
    <mergeCell ref="AI15:AI16"/>
    <mergeCell ref="Z7:Z8"/>
    <mergeCell ref="AA7:AA8"/>
    <mergeCell ref="AB7:AB8"/>
    <mergeCell ref="AF7:AF8"/>
    <mergeCell ref="AG7:AG8"/>
    <mergeCell ref="AH7:AH8"/>
    <mergeCell ref="E2:E13"/>
    <mergeCell ref="V2:AB2"/>
    <mergeCell ref="AC2:AJ2"/>
    <mergeCell ref="F3:F12"/>
    <mergeCell ref="V3:AB3"/>
    <mergeCell ref="AC3:AJ3"/>
    <mergeCell ref="G4:G11"/>
    <mergeCell ref="V4:AB4"/>
    <mergeCell ref="AC4:AJ4"/>
    <mergeCell ref="H5:H11"/>
    <mergeCell ref="I5:I10"/>
    <mergeCell ref="P5:P10"/>
    <mergeCell ref="V5:AB5"/>
    <mergeCell ref="AC5:AJ5"/>
    <mergeCell ref="J6:J9"/>
    <mergeCell ref="Q6:Q9"/>
    <mergeCell ref="V6:AB6"/>
    <mergeCell ref="AC6:AJ6"/>
    <mergeCell ref="K7:K8"/>
    <mergeCell ref="Y7:Y8"/>
    <mergeCell ref="AI7:AI8"/>
  </mergeCells>
  <dataValidations count="8">
    <dataValidation allowBlank="1" promptTitle="checkPeriodRange" sqref="X65579 X131115 X196651 X262187 X327723 X393259 X458795 X524331 X589867 X655403 X720939 X786475 X852011 X917547 X983083 AE16 AE65579 AE131115 AE196651 AE262187 AE327723 AE393259 AE458795 AE524331 AE589867 AE655403 AE720939 AE786475 AE852011 AE917547 AE983083 AE47 AE8 X8 X47"/>
    <dataValidation type="list" allowBlank="1" showInputMessage="1" showErrorMessage="1" errorTitle="Ошибка" error="Выберите значение из списка" sqref="V983080 V65576 V131112 V196648 V262184 V327720 V393256 V458792 V524328 V589864 V655400 V720936 V786472 V852008 V917544 AC983080 AC65576 AC131112 AC196648 AC262184 AC327720 AC393256 AC458792 AC524328 AC589864 AC655400 AC720936 AC786472 AC852008 AC917544">
      <formula1>kind_of_scheme_in</formula1>
    </dataValidation>
    <dataValidation type="textLength" operator="lessThanOrEqual" allowBlank="1" showInputMessage="1" showErrorMessage="1" errorTitle="Ошибка" error="Допускается ввод не более 900 символов!" sqref="AK65572:AK65579 AK131108:AK131115 AK196644:AK196651 AK262180:AK262187 AK327716:AK327723 AK393252:AK393259 AK458788:AK458795 AK524324:AK524331 AK589860:AK589867 AK655396:AK655403 AK720932:AK720939 AK786468:AK786475 AK852004:AK852011 AK917540:AK917547 AK983076:AK983083 T46 T7 AC5:AJ5 AC44:AJ44">
      <formula1>900</formula1>
    </dataValidation>
    <dataValidation type="list" allowBlank="1" showInputMessage="1" showErrorMessage="1" errorTitle="Ошибка" error="Выберите значение из списка" sqref="T65578 T131114 T196650 T262186 T327722 T393258 T458794 T524330 T589866 T655402 T720938 T786474 T852010 T917546 T983082">
      <formula1>kind_of_heat_transfer</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Y65578 Y131114 Y196650 Y262186 Y327722 Y393258 Y458794 Y524330 Y589866 Y655402 Y720938 Y786474 Y852010 Y917546 Y983082 AA65578 AA131114 AA196650 AA262186 AA327722 AA393258 AA458794 AA524330 AA589866 AA655402 AA720938 AA786474 AA852010 AA917546 AA983082 AF15 AF65578 AF131114 AF196650 AF262186 AF327722 AF393258 AF458794 AF524330 AF589866 AF655402 AF720938 AF786474 AF852010 AF917546 AF983082 AH65578 AH131114 AH196650 AH262186 AH327722 AH393258 AH458794 AH524330 AH589866 AH655402 AH720938 AH786474 AH852010 AH917546 AH983082 AH46 AF46 AH15 AH7 AF7 Y7 AA7 Y46 AA46"/>
    <dataValidation allowBlank="1" showInputMessage="1" showErrorMessage="1" prompt="Для выбора выполните двойной щелчок левой клавиши мыши по соответствующей ячейке." sqref="Z65578 Z131114 Z196650 Z262186 Z327722 Z393258 Z458794 Z524330 Z589866 Z655402 Z720938 Z786474 Z852010 Z917546 Z983082 AB131114 AB458794 AB196650 AB262186 AB327722 AB393258 AB524330 AB589866 AB655402 AB720938 AB786474 AB852010 AB917546 AB983082 AB65578 AG65578 AG131114 AG196650 AG262186 AG327722 AG393258 AG458794 AG524330 AG589866 AG655402 AG720938 AG786474 AG852010 AG917546 AG983082 AI524330 AI196650 AI589866 AI655402 AI15 AI720938 AI786474 AI852010 AI917546 AI983082 AI65578 AI131114 AI458794 AI262186 AI7 AG46 AI327722 AG15 AG7 Z7 AB7 AI393258 AI46 Z46 AB46"/>
    <dataValidation allowBlank="1" sqref="S131116:AK131122 S196652:AK196658 S262188:AK262194 S327724:AK327730 S393260:AK393266 S458796:AK458802 S524332:AK524338 S589868:AK589874 S655404:AK655410 S720940:AK720946 S786476:AK786482 S852012:AK852018 S917548:AK917554 S983084:AK983090 S65580:AK65586"/>
    <dataValidation type="list" allowBlank="1" showInputMessage="1" errorTitle="Ошибка" error="Выберите значение из списка" prompt="Выберите значение из списка" sqref="V983081:AJ983081 V65577:AJ65577 V131113:AJ131113 V196649:AJ196649 V262185:AJ262185 V327721:AJ327721 V393257:AJ393257 V458793:AJ458793 V524329:AJ524329 V589865:AJ589865 V655401:AJ655401 V720937:AJ720937 V786473:AJ786473 V852009:AJ852009 V917545:AJ917545">
      <formula1>kind_of_cons</formula1>
    </dataValidation>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10183B78-A6CB-7DA4-CE98-62807655B9E8}" mc:Ignorable="x14ac xr xr2 xr3">
  <sheetPr>
    <tabColor theme="6" tint="0.4"/>
  </sheetPr>
  <dimension ref="A1:BI69"/>
  <sheetViews>
    <sheetView showGridLines="0" zoomScale="90" workbookViewId="0">
      <pane xSplit="29" ySplit="45" topLeftCell="AD46" activePane="bottomRight" state="frozen"/>
      <selection pane="bottomLeft" activeCell="A46" sqref="A46"/>
      <selection pane="topRight" activeCell="AD1" sqref="AD1"/>
      <selection pane="bottomRight" activeCell="A1" sqref="A1"/>
    </sheetView>
  </sheetViews>
  <sheetFormatPr defaultColWidth="10.57421875" customHeight="1" defaultRowHeight="14.25"/>
  <cols>
    <col min="1" max="1" style="1367" width="11.57421875" hidden="1" customWidth="1"/>
    <col min="2" max="2" style="1367" width="11.00390625" hidden="1" customWidth="1"/>
    <col min="3" max="3" style="1367" width="10.57421875" hidden="1"/>
    <col min="4" max="4" style="1367" width="12.8515625" hidden="1" customWidth="1"/>
    <col min="5" max="5" style="1367" width="10.00390625" hidden="1" customWidth="1"/>
    <col min="6" max="6" style="1367" width="8.7109375" hidden="1" customWidth="1"/>
    <col min="7" max="7" style="1367" width="7.57421875" hidden="1" customWidth="1"/>
    <col min="8" max="8" style="1367" width="11.421875" hidden="1" customWidth="1"/>
    <col min="9" max="9" style="1367" width="12.00390625" hidden="1" customWidth="1"/>
    <col min="10" max="10" style="1367" width="9.8515625" hidden="1" customWidth="1"/>
    <col min="11" max="11" style="1367" width="11.421875" hidden="1" customWidth="1"/>
    <col min="12" max="12" style="2608" width="19.140625" hidden="1" customWidth="1"/>
    <col min="13" max="14" style="1777" width="12.28125" hidden="1" customWidth="1"/>
    <col min="15" max="15" style="1777" width="23.421875" hidden="1" customWidth="1"/>
    <col min="16" max="16" style="1777" width="3.7109375" hidden="1" customWidth="1"/>
    <col min="17" max="17" style="1372" width="3.7109375" hidden="1" customWidth="1"/>
    <col min="18" max="18" style="345" width="3.00390625" customWidth="1"/>
    <col min="19" max="19" style="2408" width="12.00390625" customWidth="1"/>
    <col min="20" max="20" style="1636" width="31.00390625" customWidth="1"/>
    <col min="21" max="21" style="1636" width="0.140625" customWidth="1"/>
    <col min="22" max="25" style="1636" width="21.7109375" hidden="1" customWidth="1"/>
    <col min="26" max="26" style="1636" width="11.7109375" hidden="1" customWidth="1"/>
    <col min="27" max="27" style="1636" width="3.7109375" hidden="1" customWidth="1"/>
    <col min="28" max="28" style="1636" width="11.7109375" hidden="1" customWidth="1"/>
    <col min="29" max="29" style="1636" width="8.57421875" hidden="1" customWidth="1"/>
    <col min="30" max="30" style="1636" width="3.7109375" customWidth="1"/>
    <col min="31" max="32" style="1636" width="3.00390625" customWidth="1"/>
    <col min="33" max="33" style="1636" width="24.00390625" customWidth="1"/>
    <col min="34" max="34" style="1636" width="3.7109375" customWidth="1"/>
    <col min="35" max="36" style="1636" width="3.00390625" customWidth="1"/>
    <col min="37" max="37" style="1636" width="24.00390625" customWidth="1"/>
    <col min="38" max="38" style="1636" width="3.7109375" customWidth="1"/>
    <col min="39" max="40" style="1636" width="3.00390625" customWidth="1"/>
    <col min="41" max="41" style="1636" width="18.00390625" customWidth="1"/>
    <col min="42" max="42" style="1636" width="3.7109375" customWidth="1"/>
    <col min="43" max="44" style="1636" width="3.00390625" customWidth="1"/>
    <col min="45" max="45" style="1636" width="18.00390625" customWidth="1"/>
    <col min="46" max="49" style="1636" width="21.00390625" customWidth="1"/>
    <col min="50" max="50" style="1636" width="11.00390625" customWidth="1"/>
    <col min="51" max="51" style="1636" width="3.7109375" customWidth="1"/>
    <col min="52" max="52" style="1636" width="11.00390625" customWidth="1"/>
    <col min="53" max="53" style="1636" width="8.57421875" hidden="1" customWidth="1"/>
    <col min="54" max="54" style="1636" width="4.00390625" customWidth="1"/>
    <col min="55" max="55" style="1636" width="115.00390625" customWidth="1"/>
    <col min="56" max="60" style="1643" width="10.00390625" customWidth="1"/>
    <col min="61" max="61" style="1636" width="10.57421875" hidden="1"/>
  </cols>
  <sheetData>
    <row customHeight="1" ht="22.5" hidden="1">
      <c r="W1" s="328"/>
      <c r="Y1" s="328"/>
      <c r="Z1" s="328"/>
      <c r="AW1" s="328"/>
      <c r="AX1" s="328"/>
      <c r="BI1" s="1156" t="s">
        <v>14</v>
      </c>
    </row>
    <row customHeight="1" ht="21" hidden="1">
      <c r="A2" s="1364"/>
      <c r="B2" s="1364"/>
      <c r="C2" s="1364"/>
      <c r="D2" s="1364"/>
      <c r="E2" s="2259">
        <v>1</v>
      </c>
      <c r="F2" s="1364"/>
      <c r="G2" s="1364"/>
      <c r="H2" s="1364"/>
      <c r="I2" s="1364"/>
      <c r="J2" s="1364"/>
      <c r="K2" s="1364"/>
      <c r="L2" s="1365"/>
      <c r="M2" s="1366"/>
      <c r="N2" s="1366"/>
      <c r="O2" s="1366"/>
      <c r="P2" s="1410"/>
      <c r="Q2" s="874"/>
      <c r="R2" s="356"/>
      <c r="S2" s="1494">
        <f>INDEX(PT_DIFFERENTIATION_NUM_NTAR,MATCH(A2,PT_DIFFERENTIATION_NTAR_ID,0))</f>
      </c>
      <c r="T2" s="299" t="s">
        <v>131</v>
      </c>
      <c r="U2" s="301"/>
      <c r="V2" s="2244"/>
      <c r="W2" s="2244"/>
      <c r="X2" s="2244"/>
      <c r="Y2" s="2244"/>
      <c r="Z2" s="2244"/>
      <c r="AA2" s="2244"/>
      <c r="AB2" s="2244"/>
      <c r="AC2" s="2245"/>
      <c r="AD2" s="2243">
        <f>INDEX(PT_DIFFERENTIATION_NTAR,MATCH(A2,PT_DIFFERENTIATION_NTAR_ID,0))</f>
      </c>
      <c r="AE2" s="2244"/>
      <c r="AF2" s="2244"/>
      <c r="AG2" s="2244"/>
      <c r="AH2" s="2244"/>
      <c r="AI2" s="2244"/>
      <c r="AJ2" s="2244"/>
      <c r="AK2" s="2244"/>
      <c r="AL2" s="2244"/>
      <c r="AM2" s="2244"/>
      <c r="AN2" s="2244"/>
      <c r="AO2" s="2244"/>
      <c r="AP2" s="2244"/>
      <c r="AQ2" s="2244"/>
      <c r="AR2" s="2244"/>
      <c r="AS2" s="2244"/>
      <c r="AT2" s="2244"/>
      <c r="AU2" s="2244"/>
      <c r="AV2" s="2244"/>
      <c r="AW2" s="2244"/>
      <c r="AX2" s="2244"/>
      <c r="AY2" s="2244"/>
      <c r="AZ2" s="2244"/>
      <c r="BA2" s="2244"/>
      <c r="BB2" s="2245"/>
      <c r="BC2" s="1259"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BE2" s="501"/>
      <c r="BF2" s="501" t="str">
        <f>IF(T2="","",T2)</f>
        <v>Наименование тарифа</v>
      </c>
      <c r="BG2" s="501"/>
      <c r="BH2" s="501"/>
      <c r="BI2" s="1156">
        <v>0</v>
      </c>
    </row>
    <row customHeight="1" ht="21" hidden="1">
      <c r="A3" s="1364"/>
      <c r="B3" s="1364"/>
      <c r="C3" s="1364"/>
      <c r="D3" s="1364"/>
      <c r="E3" s="2260"/>
      <c r="F3" s="2259">
        <v>1</v>
      </c>
      <c r="G3" s="1364"/>
      <c r="H3" s="1364"/>
      <c r="I3" s="1364"/>
      <c r="J3" s="1364"/>
      <c r="K3" s="1364"/>
      <c r="L3" s="1365"/>
      <c r="M3" s="1366"/>
      <c r="N3" s="1366"/>
      <c r="O3" s="1366"/>
      <c r="P3" s="1411"/>
      <c r="Q3" s="1412"/>
      <c r="R3" s="354"/>
      <c r="S3" s="1494">
        <f>INDEX(PT_DIFFERENTIATION_NUM_TER,MATCH(B3,PT_DIFFERENTIATION_TER_ID,0))</f>
      </c>
      <c r="T3" s="309" t="s">
        <v>414</v>
      </c>
      <c r="U3" s="301"/>
      <c r="V3" s="2244"/>
      <c r="W3" s="2244"/>
      <c r="X3" s="2244"/>
      <c r="Y3" s="2244"/>
      <c r="Z3" s="2244"/>
      <c r="AA3" s="2244"/>
      <c r="AB3" s="2244"/>
      <c r="AC3" s="2245"/>
      <c r="AD3" s="2243">
        <f>INDEX(PT_DIFFERENTIATION_TER,MATCH(B3,PT_DIFFERENTIATION_TER_ID,0))</f>
      </c>
      <c r="AE3" s="2244"/>
      <c r="AF3" s="2244"/>
      <c r="AG3" s="2244"/>
      <c r="AH3" s="2244"/>
      <c r="AI3" s="2244"/>
      <c r="AJ3" s="2244"/>
      <c r="AK3" s="2244"/>
      <c r="AL3" s="2244"/>
      <c r="AM3" s="2244"/>
      <c r="AN3" s="2244"/>
      <c r="AO3" s="2244"/>
      <c r="AP3" s="2244"/>
      <c r="AQ3" s="2244"/>
      <c r="AR3" s="2244"/>
      <c r="AS3" s="2244"/>
      <c r="AT3" s="2244"/>
      <c r="AU3" s="2244"/>
      <c r="AV3" s="2244"/>
      <c r="AW3" s="2244"/>
      <c r="AX3" s="2244"/>
      <c r="AY3" s="2244"/>
      <c r="AZ3" s="2244"/>
      <c r="BA3" s="2244"/>
      <c r="BB3" s="2245"/>
      <c r="BC3" s="1259" t="s">
        <v>415</v>
      </c>
      <c r="BE3" s="501"/>
      <c r="BF3" s="501" t="str">
        <f>IF(T3="","",T3)</f>
        <v>Территория действия тарифа</v>
      </c>
      <c r="BG3" s="501"/>
      <c r="BH3" s="501"/>
      <c r="BI3" s="1156">
        <v>0</v>
      </c>
    </row>
    <row customHeight="1" ht="33.75" hidden="1">
      <c r="A4" s="1364"/>
      <c r="B4" s="1364"/>
      <c r="C4" s="1364"/>
      <c r="D4" s="1364"/>
      <c r="E4" s="2260"/>
      <c r="F4" s="2260"/>
      <c r="G4" s="2259">
        <v>1</v>
      </c>
      <c r="H4" s="1364"/>
      <c r="I4" s="1364"/>
      <c r="J4" s="1364"/>
      <c r="K4" s="1364"/>
      <c r="L4" s="1365"/>
      <c r="M4" s="1366"/>
      <c r="N4" s="1366"/>
      <c r="O4" s="1366"/>
      <c r="P4" s="1413"/>
      <c r="Q4" s="1412"/>
      <c r="R4" s="354"/>
      <c r="S4" s="1494">
        <f>INDEX(PT_DIFFERENTIATION_NUM_CS,MATCH(C4,PT_DIFFERENTIATION_CS_ID,0))</f>
      </c>
      <c r="T4" s="310" t="s">
        <v>535</v>
      </c>
      <c r="U4" s="301"/>
      <c r="V4" s="2244"/>
      <c r="W4" s="2244"/>
      <c r="X4" s="2244"/>
      <c r="Y4" s="2244"/>
      <c r="Z4" s="2244"/>
      <c r="AA4" s="2244"/>
      <c r="AB4" s="2244"/>
      <c r="AC4" s="2245"/>
      <c r="AD4" s="2243">
        <f>INDEX(PT_DIFFERENTIATION_CS,MATCH(C4,PT_DIFFERENTIATION_CS_ID,0))</f>
      </c>
      <c r="AE4" s="2244"/>
      <c r="AF4" s="2244"/>
      <c r="AG4" s="2244"/>
      <c r="AH4" s="2244"/>
      <c r="AI4" s="2244"/>
      <c r="AJ4" s="2244"/>
      <c r="AK4" s="2244"/>
      <c r="AL4" s="2244"/>
      <c r="AM4" s="2244"/>
      <c r="AN4" s="2244"/>
      <c r="AO4" s="2244"/>
      <c r="AP4" s="2244"/>
      <c r="AQ4" s="2244"/>
      <c r="AR4" s="2244"/>
      <c r="AS4" s="2244"/>
      <c r="AT4" s="2244"/>
      <c r="AU4" s="2244"/>
      <c r="AV4" s="2244"/>
      <c r="AW4" s="2244"/>
      <c r="AX4" s="2244"/>
      <c r="AY4" s="2244"/>
      <c r="AZ4" s="2244"/>
      <c r="BA4" s="2244"/>
      <c r="BB4" s="2245"/>
      <c r="BC4" s="1259" t="s">
        <v>536</v>
      </c>
      <c r="BE4" s="501"/>
      <c r="BF4" s="501" t="str">
        <f>IF(T4="","",T4)</f>
        <v>Наименование централизованной системы водоотведения</v>
      </c>
      <c r="BG4" s="501"/>
      <c r="BH4" s="501"/>
      <c r="BI4" s="1156">
        <v>0</v>
      </c>
    </row>
    <row s="1643" customFormat="1" customHeight="1" ht="14.25" hidden="1">
      <c r="A5" s="1344"/>
      <c r="B5" s="1344"/>
      <c r="C5" s="1344"/>
      <c r="D5" s="1344"/>
      <c r="E5" s="2260"/>
      <c r="F5" s="2260"/>
      <c r="G5" s="2260"/>
      <c r="H5" s="2259">
        <v>1</v>
      </c>
      <c r="I5" s="1344"/>
      <c r="J5" s="1344"/>
      <c r="K5" s="1344"/>
      <c r="L5" s="1347"/>
      <c r="M5" s="1316"/>
      <c r="N5" s="1316"/>
      <c r="O5" s="1316"/>
      <c r="P5" s="1498"/>
      <c r="Q5" s="1499"/>
      <c r="R5" s="358"/>
      <c r="S5" s="1043"/>
      <c r="T5" s="1500"/>
      <c r="U5" s="1385"/>
      <c r="V5" s="2298"/>
      <c r="W5" s="2298"/>
      <c r="X5" s="2298"/>
      <c r="Y5" s="2298"/>
      <c r="Z5" s="2298"/>
      <c r="AA5" s="2298"/>
      <c r="AB5" s="2298"/>
      <c r="AC5" s="2299"/>
      <c r="AD5" s="2297"/>
      <c r="AE5" s="2298"/>
      <c r="AF5" s="2298"/>
      <c r="AG5" s="2298"/>
      <c r="AH5" s="2298"/>
      <c r="AI5" s="2298"/>
      <c r="AJ5" s="2298"/>
      <c r="AK5" s="2298"/>
      <c r="AL5" s="2298"/>
      <c r="AM5" s="2298"/>
      <c r="AN5" s="2298"/>
      <c r="AO5" s="2298"/>
      <c r="AP5" s="2298"/>
      <c r="AQ5" s="2298"/>
      <c r="AR5" s="2298"/>
      <c r="AS5" s="2298"/>
      <c r="AT5" s="2298"/>
      <c r="AU5" s="2298"/>
      <c r="AV5" s="2298"/>
      <c r="AW5" s="2298"/>
      <c r="AX5" s="2298"/>
      <c r="AY5" s="2298"/>
      <c r="AZ5" s="2298"/>
      <c r="BA5" s="2298"/>
      <c r="BB5" s="2299"/>
      <c r="BC5" s="1386" t="s">
        <v>419</v>
      </c>
      <c r="BE5" s="501"/>
      <c r="BF5" s="501" t="str">
        <f>IF(T5="","",T5)</f>
        <v/>
      </c>
      <c r="BG5" s="501"/>
      <c r="BH5" s="501"/>
      <c r="BI5" s="512">
        <v>0</v>
      </c>
    </row>
    <row s="1643" customFormat="1" customHeight="1" ht="14.25" hidden="1">
      <c r="A6" s="1344"/>
      <c r="B6" s="1344"/>
      <c r="C6" s="1344"/>
      <c r="D6" s="1344"/>
      <c r="E6" s="2260"/>
      <c r="F6" s="2260"/>
      <c r="G6" s="2260"/>
      <c r="H6" s="2260"/>
      <c r="I6" s="2257" t="str">
        <f>S5&amp;".1"</f>
        <v>.1</v>
      </c>
      <c r="J6" s="1344"/>
      <c r="K6" s="1344"/>
      <c r="L6" s="1347" t="s">
        <v>420</v>
      </c>
      <c r="M6" s="511"/>
      <c r="N6" s="511"/>
      <c r="O6" s="511"/>
      <c r="P6" s="2258">
        <v>1</v>
      </c>
      <c r="Q6" s="1482"/>
      <c r="R6" s="357"/>
      <c r="S6" s="1043"/>
      <c r="T6" s="1384"/>
      <c r="U6" s="1385"/>
      <c r="V6" s="2298"/>
      <c r="W6" s="2298"/>
      <c r="X6" s="2298"/>
      <c r="Y6" s="2298"/>
      <c r="Z6" s="2298"/>
      <c r="AA6" s="2298"/>
      <c r="AB6" s="2298"/>
      <c r="AC6" s="2299"/>
      <c r="AD6" s="2297"/>
      <c r="AE6" s="2298"/>
      <c r="AF6" s="2298"/>
      <c r="AG6" s="2298"/>
      <c r="AH6" s="2298"/>
      <c r="AI6" s="2298"/>
      <c r="AJ6" s="2298"/>
      <c r="AK6" s="2298"/>
      <c r="AL6" s="2298"/>
      <c r="AM6" s="2298"/>
      <c r="AN6" s="2298"/>
      <c r="AO6" s="2298"/>
      <c r="AP6" s="2298"/>
      <c r="AQ6" s="2298"/>
      <c r="AR6" s="2298"/>
      <c r="AS6" s="2298"/>
      <c r="AT6" s="2298"/>
      <c r="AU6" s="2298"/>
      <c r="AV6" s="2298"/>
      <c r="AW6" s="2298"/>
      <c r="AX6" s="2298"/>
      <c r="AY6" s="2298"/>
      <c r="AZ6" s="2298"/>
      <c r="BA6" s="2298"/>
      <c r="BB6" s="2299"/>
      <c r="BC6" s="1386"/>
      <c r="BE6" s="501"/>
      <c r="BF6" s="501" t="str">
        <f>IF(T6="","",T6)</f>
        <v/>
      </c>
      <c r="BG6" s="501"/>
      <c r="BH6" s="501"/>
      <c r="BI6" s="512">
        <v>0</v>
      </c>
    </row>
    <row s="1643" customFormat="1" customHeight="1" ht="14.25" hidden="1">
      <c r="A7" s="1344"/>
      <c r="B7" s="1344"/>
      <c r="C7" s="1344"/>
      <c r="D7" s="1344"/>
      <c r="E7" s="2260"/>
      <c r="F7" s="2260"/>
      <c r="G7" s="2260"/>
      <c r="H7" s="2260"/>
      <c r="I7" s="2287"/>
      <c r="J7" s="2257" t="str">
        <f>S5&amp;".1"</f>
        <v>.1</v>
      </c>
      <c r="K7" s="1344"/>
      <c r="L7" s="1347"/>
      <c r="M7" s="511"/>
      <c r="N7" s="511"/>
      <c r="O7" s="511"/>
      <c r="P7" s="2258"/>
      <c r="Q7" s="2258">
        <v>1</v>
      </c>
      <c r="R7" s="358"/>
      <c r="S7" s="1043"/>
      <c r="T7" s="1400"/>
      <c r="U7" s="1385"/>
      <c r="V7" s="2298"/>
      <c r="W7" s="2298"/>
      <c r="X7" s="2298"/>
      <c r="Y7" s="2298"/>
      <c r="Z7" s="2298"/>
      <c r="AA7" s="2298"/>
      <c r="AB7" s="2298"/>
      <c r="AC7" s="2299"/>
      <c r="AD7" s="2297"/>
      <c r="AE7" s="2298"/>
      <c r="AF7" s="2298"/>
      <c r="AG7" s="2298"/>
      <c r="AH7" s="2298"/>
      <c r="AI7" s="2298"/>
      <c r="AJ7" s="2298"/>
      <c r="AK7" s="2298"/>
      <c r="AL7" s="2298"/>
      <c r="AM7" s="2298"/>
      <c r="AN7" s="2298"/>
      <c r="AO7" s="2298"/>
      <c r="AP7" s="2298"/>
      <c r="AQ7" s="2298"/>
      <c r="AR7" s="2298"/>
      <c r="AS7" s="2298"/>
      <c r="AT7" s="2298"/>
      <c r="AU7" s="2298"/>
      <c r="AV7" s="2298"/>
      <c r="AW7" s="2298"/>
      <c r="AX7" s="2298"/>
      <c r="AY7" s="2298"/>
      <c r="AZ7" s="2298"/>
      <c r="BA7" s="2298"/>
      <c r="BB7" s="2299"/>
      <c r="BC7" s="1386"/>
      <c r="BE7" s="501"/>
      <c r="BF7" s="501" t="str">
        <f>IF(T7="","",T7)</f>
        <v/>
      </c>
      <c r="BG7" s="501"/>
      <c r="BH7" s="501"/>
      <c r="BI7" s="512">
        <v>0</v>
      </c>
    </row>
    <row customHeight="1" ht="11.25" hidden="1">
      <c r="A8" s="1364"/>
      <c r="B8" s="1364"/>
      <c r="C8" s="1364"/>
      <c r="D8" s="1364"/>
      <c r="E8" s="2260"/>
      <c r="F8" s="2260"/>
      <c r="G8" s="2260"/>
      <c r="H8" s="2260"/>
      <c r="I8" s="2287"/>
      <c r="J8" s="2287"/>
      <c r="K8" s="2257">
        <f>S4&amp;".1"</f>
      </c>
      <c r="L8" s="1365"/>
      <c r="P8" s="2258"/>
      <c r="Q8" s="2258"/>
      <c r="R8" s="2348">
        <v>1</v>
      </c>
      <c r="S8" s="2342">
        <f>$K8</f>
      </c>
      <c r="T8" s="2361"/>
      <c r="U8" s="301"/>
      <c r="V8" s="752"/>
      <c r="W8" s="1258"/>
      <c r="X8" s="752"/>
      <c r="Y8" s="1258"/>
      <c r="Z8" s="1735"/>
      <c r="AA8" s="1470" t="s">
        <v>61</v>
      </c>
      <c r="AB8" s="1735"/>
      <c r="AC8" s="1470" t="s">
        <v>61</v>
      </c>
      <c r="AD8" s="2186" t="s">
        <v>61</v>
      </c>
      <c r="AE8" s="2327"/>
      <c r="AF8" s="2206">
        <v>1</v>
      </c>
      <c r="AG8" s="2364"/>
      <c r="AH8" s="2108" t="s">
        <v>61</v>
      </c>
      <c r="AI8" s="2327"/>
      <c r="AJ8" s="2206">
        <v>1</v>
      </c>
      <c r="AK8" s="2328" t="s">
        <v>28</v>
      </c>
      <c r="AL8" s="2108" t="s">
        <v>61</v>
      </c>
      <c r="AM8" s="2193"/>
      <c r="AN8" s="2206">
        <v>1</v>
      </c>
      <c r="AO8" s="2358"/>
      <c r="AP8" s="2359" t="s">
        <v>61</v>
      </c>
      <c r="AQ8" s="312"/>
      <c r="AR8" s="1487">
        <v>1</v>
      </c>
      <c r="AS8" s="1493" t="s">
        <v>28</v>
      </c>
      <c r="AT8" s="752"/>
      <c r="AU8" s="1258"/>
      <c r="AV8" s="752"/>
      <c r="AW8" s="1258"/>
      <c r="AX8" s="1735"/>
      <c r="AY8" s="1470" t="s">
        <v>61</v>
      </c>
      <c r="AZ8" s="1735"/>
      <c r="BA8" s="1470" t="s">
        <v>61</v>
      </c>
      <c r="BB8" s="1349"/>
      <c r="BC8" s="2254" t="s">
        <v>520</v>
      </c>
      <c r="BE8" s="501"/>
      <c r="BF8" s="501" t="str">
        <f>IF(T8="","",T8)</f>
        <v/>
      </c>
      <c r="BG8" s="501"/>
      <c r="BH8" s="501"/>
      <c r="BI8" s="1156">
        <v>0</v>
      </c>
    </row>
    <row customHeight="1" ht="11.25" hidden="1">
      <c r="A9" s="1364"/>
      <c r="B9" s="1364"/>
      <c r="C9" s="1364"/>
      <c r="D9" s="1364"/>
      <c r="E9" s="2260"/>
      <c r="F9" s="2260"/>
      <c r="G9" s="2260"/>
      <c r="H9" s="2260"/>
      <c r="I9" s="2287"/>
      <c r="J9" s="2287"/>
      <c r="K9" s="2257"/>
      <c r="L9" s="1365"/>
      <c r="P9" s="2258"/>
      <c r="Q9" s="2258"/>
      <c r="R9" s="2348"/>
      <c r="S9" s="2343"/>
      <c r="T9" s="2362"/>
      <c r="U9" s="301"/>
      <c r="V9" s="1394"/>
      <c r="W9" s="1497"/>
      <c r="X9" s="1394"/>
      <c r="Y9" s="1497"/>
      <c r="Z9" s="1394"/>
      <c r="AA9" s="1394"/>
      <c r="AB9" s="1394"/>
      <c r="AC9" s="1394"/>
      <c r="AD9" s="2187"/>
      <c r="AE9" s="2327"/>
      <c r="AF9" s="2206"/>
      <c r="AG9" s="2364"/>
      <c r="AH9" s="2108"/>
      <c r="AI9" s="2327"/>
      <c r="AJ9" s="2206"/>
      <c r="AK9" s="2328"/>
      <c r="AL9" s="2108"/>
      <c r="AM9" s="2201"/>
      <c r="AN9" s="2206"/>
      <c r="AO9" s="2358"/>
      <c r="AP9" s="2360"/>
      <c r="AQ9" s="317"/>
      <c r="AR9" s="417"/>
      <c r="AS9" s="417" t="s">
        <v>521</v>
      </c>
      <c r="AT9" s="1394"/>
      <c r="AU9" s="1497"/>
      <c r="AV9" s="1394"/>
      <c r="AW9" s="1497"/>
      <c r="AX9" s="1394"/>
      <c r="AY9" s="1394"/>
      <c r="AZ9" s="1394"/>
      <c r="BA9" s="1394"/>
      <c r="BB9" s="1398"/>
      <c r="BC9" s="2255"/>
      <c r="BE9" s="501"/>
      <c r="BF9" s="501"/>
      <c r="BG9" s="501"/>
      <c r="BH9" s="501"/>
      <c r="BI9" s="1156">
        <v>0</v>
      </c>
    </row>
    <row customHeight="1" ht="11.25" hidden="1">
      <c r="A10" s="1364"/>
      <c r="B10" s="1364"/>
      <c r="C10" s="1364"/>
      <c r="D10" s="1364"/>
      <c r="E10" s="2260"/>
      <c r="F10" s="2260"/>
      <c r="G10" s="2260"/>
      <c r="H10" s="2260"/>
      <c r="I10" s="2287"/>
      <c r="J10" s="2287"/>
      <c r="K10" s="2257"/>
      <c r="L10" s="1365"/>
      <c r="P10" s="2258"/>
      <c r="Q10" s="2258"/>
      <c r="R10" s="2348"/>
      <c r="S10" s="2343"/>
      <c r="T10" s="2362"/>
      <c r="U10" s="301"/>
      <c r="V10" s="1394"/>
      <c r="W10" s="1497"/>
      <c r="X10" s="1394"/>
      <c r="Y10" s="1497"/>
      <c r="Z10" s="1394"/>
      <c r="AA10" s="1394"/>
      <c r="AB10" s="1394"/>
      <c r="AC10" s="1394"/>
      <c r="AD10" s="2187"/>
      <c r="AE10" s="2327"/>
      <c r="AF10" s="2206"/>
      <c r="AG10" s="2364"/>
      <c r="AH10" s="2108"/>
      <c r="AI10" s="2327"/>
      <c r="AJ10" s="2206"/>
      <c r="AK10" s="2328"/>
      <c r="AL10" s="2108"/>
      <c r="AM10" s="317"/>
      <c r="AN10" s="1501"/>
      <c r="AO10" s="1501" t="s">
        <v>541</v>
      </c>
      <c r="AP10" s="417"/>
      <c r="AQ10" s="417"/>
      <c r="AR10" s="417"/>
      <c r="AS10" s="1394"/>
      <c r="AT10" s="1394"/>
      <c r="AU10" s="1497"/>
      <c r="AV10" s="1394"/>
      <c r="AW10" s="1497"/>
      <c r="AX10" s="1394"/>
      <c r="AY10" s="1394"/>
      <c r="AZ10" s="1394"/>
      <c r="BA10" s="1394"/>
      <c r="BB10" s="1398"/>
      <c r="BC10" s="2255"/>
      <c r="BE10" s="501"/>
      <c r="BF10" s="501"/>
      <c r="BG10" s="501"/>
      <c r="BH10" s="501"/>
      <c r="BI10" s="1156">
        <v>0</v>
      </c>
    </row>
    <row customHeight="1" ht="11.25" hidden="1">
      <c r="A11" s="1364"/>
      <c r="B11" s="1364"/>
      <c r="C11" s="1364"/>
      <c r="D11" s="1364"/>
      <c r="E11" s="2260"/>
      <c r="F11" s="2260"/>
      <c r="G11" s="2260"/>
      <c r="H11" s="2260"/>
      <c r="I11" s="2287"/>
      <c r="J11" s="2287"/>
      <c r="K11" s="2257"/>
      <c r="L11" s="1365"/>
      <c r="P11" s="2258"/>
      <c r="Q11" s="2258"/>
      <c r="R11" s="2348"/>
      <c r="S11" s="2343"/>
      <c r="T11" s="2362"/>
      <c r="U11" s="301"/>
      <c r="V11" s="1394"/>
      <c r="W11" s="1497"/>
      <c r="X11" s="1394"/>
      <c r="Y11" s="1497"/>
      <c r="Z11" s="1394"/>
      <c r="AA11" s="1394"/>
      <c r="AB11" s="1394"/>
      <c r="AC11" s="1394"/>
      <c r="AD11" s="2187"/>
      <c r="AE11" s="2327"/>
      <c r="AF11" s="2206"/>
      <c r="AG11" s="2364"/>
      <c r="AH11" s="2108"/>
      <c r="AI11" s="295"/>
      <c r="AJ11" s="416"/>
      <c r="AK11" s="314" t="s">
        <v>542</v>
      </c>
      <c r="AL11" s="1394"/>
      <c r="AM11" s="1394"/>
      <c r="AN11" s="1394"/>
      <c r="AO11" s="1394"/>
      <c r="AP11" s="1394"/>
      <c r="AQ11" s="1394"/>
      <c r="AR11" s="1394"/>
      <c r="AS11" s="1394"/>
      <c r="AT11" s="1394"/>
      <c r="AU11" s="1497"/>
      <c r="AV11" s="1394"/>
      <c r="AW11" s="1497"/>
      <c r="AX11" s="1394"/>
      <c r="AY11" s="1394"/>
      <c r="AZ11" s="1394"/>
      <c r="BA11" s="1394"/>
      <c r="BB11" s="1398"/>
      <c r="BC11" s="2255"/>
      <c r="BE11" s="501"/>
      <c r="BF11" s="501"/>
      <c r="BG11" s="501"/>
      <c r="BH11" s="501"/>
      <c r="BI11" s="1156">
        <v>0</v>
      </c>
    </row>
    <row customHeight="1" ht="11.25" hidden="1">
      <c r="A12" s="1364"/>
      <c r="B12" s="1364"/>
      <c r="C12" s="1364"/>
      <c r="D12" s="1364"/>
      <c r="E12" s="2260"/>
      <c r="F12" s="2260"/>
      <c r="G12" s="2260"/>
      <c r="H12" s="2260"/>
      <c r="I12" s="2287"/>
      <c r="J12" s="2287"/>
      <c r="K12" s="2257"/>
      <c r="L12" s="1365"/>
      <c r="P12" s="2258"/>
      <c r="Q12" s="2258"/>
      <c r="R12" s="2348"/>
      <c r="S12" s="2344"/>
      <c r="T12" s="2363"/>
      <c r="U12" s="301"/>
      <c r="V12" s="1394"/>
      <c r="W12" s="1395" t="str">
        <f>Z8&amp;"-"&amp;AB8</f>
        <v>-</v>
      </c>
      <c r="X12" s="1394"/>
      <c r="Y12" s="1395" t="str">
        <f>AB8&amp;"-"&amp;AD8</f>
        <v>-да</v>
      </c>
      <c r="Z12" s="1394"/>
      <c r="AA12" s="1394"/>
      <c r="AB12" s="1394"/>
      <c r="AC12" s="1394"/>
      <c r="AD12" s="2113"/>
      <c r="AE12" s="313"/>
      <c r="AF12" s="315"/>
      <c r="AG12" s="417" t="s">
        <v>524</v>
      </c>
      <c r="AH12" s="1394"/>
      <c r="AI12" s="1394"/>
      <c r="AJ12" s="1394"/>
      <c r="AK12" s="1394"/>
      <c r="AL12" s="1394"/>
      <c r="AM12" s="1394"/>
      <c r="AN12" s="1394"/>
      <c r="AO12" s="1394"/>
      <c r="AP12" s="1394"/>
      <c r="AQ12" s="1394"/>
      <c r="AR12" s="1394"/>
      <c r="AS12" s="1394"/>
      <c r="AT12" s="1394"/>
      <c r="AU12" s="1395" t="str">
        <f>AX8&amp;"-"&amp;AZ8</f>
        <v>-</v>
      </c>
      <c r="AV12" s="1394"/>
      <c r="AW12" s="1395" t="str">
        <f>AZ8&amp;"-"&amp;BB8</f>
        <v>-</v>
      </c>
      <c r="AX12" s="1394"/>
      <c r="AY12" s="1394"/>
      <c r="AZ12" s="1394"/>
      <c r="BA12" s="1394"/>
      <c r="BB12" s="1397" t="str">
        <f>BE8&amp;"-"&amp;BG8</f>
        <v>-</v>
      </c>
      <c r="BC12" s="2255"/>
      <c r="BE12" s="501"/>
      <c r="BF12" s="501" t="str">
        <f>IF(T12="","",T12)</f>
        <v/>
      </c>
      <c r="BG12" s="501"/>
      <c r="BH12" s="501"/>
      <c r="BI12" s="1156">
        <v>0</v>
      </c>
    </row>
    <row customHeight="1" ht="11.25" hidden="1">
      <c r="A13" s="1364"/>
      <c r="B13" s="1364"/>
      <c r="C13" s="1364"/>
      <c r="D13" s="1364"/>
      <c r="E13" s="2260"/>
      <c r="F13" s="2260"/>
      <c r="G13" s="2260"/>
      <c r="H13" s="2260"/>
      <c r="I13" s="2287"/>
      <c r="J13" s="2257"/>
      <c r="K13" s="1364"/>
      <c r="L13" s="1365"/>
      <c r="P13" s="2258"/>
      <c r="Q13" s="2258"/>
      <c r="R13" s="357"/>
      <c r="S13" s="1279"/>
      <c r="T13" s="288" t="s">
        <v>487</v>
      </c>
      <c r="U13" s="368"/>
      <c r="V13" s="368"/>
      <c r="W13" s="368"/>
      <c r="X13" s="368"/>
      <c r="Y13" s="368"/>
      <c r="Z13" s="368"/>
      <c r="AA13" s="368"/>
      <c r="AB13" s="368"/>
      <c r="AC13" s="368"/>
      <c r="AD13" s="1506"/>
      <c r="AE13" s="368"/>
      <c r="AF13" s="368"/>
      <c r="AG13" s="368"/>
      <c r="AH13" s="368"/>
      <c r="AI13" s="368"/>
      <c r="AJ13" s="368"/>
      <c r="AK13" s="368"/>
      <c r="AL13" s="368"/>
      <c r="AM13" s="368"/>
      <c r="AN13" s="368"/>
      <c r="AO13" s="368"/>
      <c r="AP13" s="368"/>
      <c r="AQ13" s="368"/>
      <c r="AR13" s="368"/>
      <c r="AS13" s="368"/>
      <c r="AT13" s="368"/>
      <c r="AU13" s="368"/>
      <c r="AV13" s="368"/>
      <c r="AW13" s="368"/>
      <c r="AX13" s="368"/>
      <c r="AY13" s="368"/>
      <c r="AZ13" s="368"/>
      <c r="BA13" s="368"/>
      <c r="BB13" s="325"/>
      <c r="BC13" s="2256"/>
      <c r="BE13" s="501"/>
      <c r="BF13" s="501" t="str">
        <f>IF(T13="","",T13)</f>
        <v>Добавить строку</v>
      </c>
      <c r="BG13" s="501"/>
      <c r="BH13" s="501"/>
      <c r="BI13" s="1156">
        <v>0</v>
      </c>
    </row>
    <row s="1643" customFormat="1" customHeight="1" ht="14.25" hidden="1">
      <c r="A14" s="1344"/>
      <c r="B14" s="1344"/>
      <c r="C14" s="1344"/>
      <c r="D14" s="1344"/>
      <c r="E14" s="2260"/>
      <c r="F14" s="2260"/>
      <c r="G14" s="2260"/>
      <c r="H14" s="2260"/>
      <c r="I14" s="2257"/>
      <c r="J14" s="1344"/>
      <c r="K14" s="1344"/>
      <c r="L14" s="1347"/>
      <c r="M14" s="511"/>
      <c r="N14" s="511"/>
      <c r="O14" s="511"/>
      <c r="P14" s="2258"/>
      <c r="Q14" s="1482"/>
      <c r="R14" s="357"/>
      <c r="S14" s="1387"/>
      <c r="T14" s="1388"/>
      <c r="U14" s="1389"/>
      <c r="V14" s="1389"/>
      <c r="W14" s="1389"/>
      <c r="X14" s="1389"/>
      <c r="Y14" s="1389"/>
      <c r="Z14" s="1389"/>
      <c r="AA14" s="1389"/>
      <c r="AB14" s="1389"/>
      <c r="AC14" s="1389"/>
      <c r="AD14" s="1389"/>
      <c r="AE14" s="1389"/>
      <c r="AF14" s="1389"/>
      <c r="AG14" s="1389"/>
      <c r="AH14" s="1389"/>
      <c r="AI14" s="1389"/>
      <c r="AJ14" s="1389"/>
      <c r="AK14" s="1389"/>
      <c r="AL14" s="1389"/>
      <c r="AM14" s="1389"/>
      <c r="AN14" s="1389"/>
      <c r="AO14" s="1389"/>
      <c r="AP14" s="1389"/>
      <c r="AQ14" s="1389"/>
      <c r="AR14" s="1389"/>
      <c r="AS14" s="1389"/>
      <c r="AT14" s="1389"/>
      <c r="AU14" s="1389"/>
      <c r="AV14" s="1389"/>
      <c r="AW14" s="1389"/>
      <c r="AX14" s="1389"/>
      <c r="AY14" s="1389"/>
      <c r="AZ14" s="1389"/>
      <c r="BA14" s="1389"/>
      <c r="BB14" s="1389"/>
      <c r="BC14" s="1390"/>
      <c r="BE14" s="501"/>
      <c r="BF14" s="501" t="str">
        <f>IF(T14="","",T14)</f>
        <v/>
      </c>
      <c r="BG14" s="501"/>
      <c r="BH14" s="501"/>
      <c r="BI14" s="512">
        <v>0</v>
      </c>
    </row>
    <row s="1643" customFormat="1" customHeight="1" ht="14.25" hidden="1">
      <c r="A15" s="1344"/>
      <c r="B15" s="1344"/>
      <c r="C15" s="1344"/>
      <c r="D15" s="1344"/>
      <c r="E15" s="2260"/>
      <c r="F15" s="2260"/>
      <c r="G15" s="2260"/>
      <c r="H15" s="2259"/>
      <c r="I15" s="1344"/>
      <c r="J15" s="1344"/>
      <c r="K15" s="1344"/>
      <c r="L15" s="1347"/>
      <c r="M15" s="1316"/>
      <c r="N15" s="1316"/>
      <c r="O15" s="519"/>
      <c r="P15" s="381"/>
      <c r="Q15" s="1345"/>
      <c r="R15" s="1402"/>
      <c r="S15" s="1387"/>
      <c r="T15" s="1388"/>
      <c r="U15" s="1389"/>
      <c r="V15" s="1389"/>
      <c r="W15" s="1389"/>
      <c r="X15" s="1389"/>
      <c r="Y15" s="1389"/>
      <c r="Z15" s="1389"/>
      <c r="AA15" s="1389"/>
      <c r="AB15" s="1389"/>
      <c r="AC15" s="1389"/>
      <c r="AD15" s="1389"/>
      <c r="AE15" s="1389"/>
      <c r="AF15" s="1389"/>
      <c r="AG15" s="1389"/>
      <c r="AH15" s="1389"/>
      <c r="AI15" s="1389"/>
      <c r="AJ15" s="1389"/>
      <c r="AK15" s="1389"/>
      <c r="AL15" s="1389"/>
      <c r="AM15" s="1389"/>
      <c r="AN15" s="1389"/>
      <c r="AO15" s="1389"/>
      <c r="AP15" s="1389"/>
      <c r="AQ15" s="1389"/>
      <c r="AR15" s="1389"/>
      <c r="AS15" s="1389"/>
      <c r="AT15" s="1389"/>
      <c r="AU15" s="1389"/>
      <c r="AV15" s="1389"/>
      <c r="AW15" s="1389"/>
      <c r="AX15" s="1389"/>
      <c r="AY15" s="1389"/>
      <c r="AZ15" s="1389"/>
      <c r="BA15" s="1389"/>
      <c r="BB15" s="1389"/>
      <c r="BC15" s="1390"/>
      <c r="BE15" s="501"/>
      <c r="BF15" s="501" t="str">
        <f>IF(T15="","",T15)</f>
        <v/>
      </c>
      <c r="BG15" s="501"/>
      <c r="BH15" s="501"/>
      <c r="BI15" s="512">
        <v>0</v>
      </c>
    </row>
    <row s="1643" customFormat="1" customHeight="1" ht="14.25" hidden="1">
      <c r="A16" s="1344"/>
      <c r="B16" s="1344"/>
      <c r="C16" s="1344"/>
      <c r="D16" s="1315"/>
      <c r="E16" s="2260"/>
      <c r="F16" s="2260"/>
      <c r="G16" s="2259"/>
      <c r="H16" s="1315"/>
      <c r="I16" s="1315"/>
      <c r="J16" s="1315"/>
      <c r="K16" s="1315"/>
      <c r="L16" s="1495"/>
      <c r="M16" s="1316"/>
      <c r="N16" s="1316"/>
      <c r="P16" s="1317"/>
      <c r="Q16" s="1318"/>
      <c r="R16" s="1317"/>
      <c r="S16" s="1323"/>
      <c r="T16" s="1326"/>
      <c r="U16" s="1325"/>
      <c r="V16" s="1325"/>
      <c r="W16" s="1325"/>
      <c r="X16" s="1325"/>
      <c r="Y16" s="1325"/>
      <c r="Z16" s="1325"/>
      <c r="AA16" s="1325"/>
      <c r="AB16" s="1325"/>
      <c r="AC16" s="1325"/>
      <c r="AD16" s="1325"/>
      <c r="AE16" s="1325"/>
      <c r="AF16" s="1325"/>
      <c r="AG16" s="1325"/>
      <c r="AH16" s="1325"/>
      <c r="AI16" s="1325"/>
      <c r="AJ16" s="1325"/>
      <c r="AK16" s="1325"/>
      <c r="AL16" s="1325"/>
      <c r="AM16" s="1325"/>
      <c r="AN16" s="1325"/>
      <c r="AO16" s="1325"/>
      <c r="AP16" s="1325"/>
      <c r="AQ16" s="1325"/>
      <c r="AR16" s="1325"/>
      <c r="AS16" s="1325"/>
      <c r="AT16" s="1325"/>
      <c r="AU16" s="1325"/>
      <c r="AV16" s="1325"/>
      <c r="AW16" s="1325"/>
      <c r="AX16" s="1325"/>
      <c r="AY16" s="1325"/>
      <c r="AZ16" s="1325"/>
      <c r="BA16" s="1325"/>
      <c r="BB16" s="1325"/>
      <c r="BC16" s="1325"/>
      <c r="BE16" s="790"/>
      <c r="BF16" s="790" t="str">
        <f>IF(T16="","",T16)</f>
        <v/>
      </c>
      <c r="BG16" s="790"/>
      <c r="BH16" s="790"/>
      <c r="BI16" s="519">
        <v>0</v>
      </c>
    </row>
    <row s="1643" customFormat="1" customHeight="1" ht="14.25" hidden="1">
      <c r="A17" s="1344"/>
      <c r="B17" s="1344"/>
      <c r="C17" s="1315"/>
      <c r="D17" s="1315"/>
      <c r="E17" s="2260"/>
      <c r="F17" s="2259"/>
      <c r="G17" s="1315"/>
      <c r="H17" s="1315"/>
      <c r="I17" s="1315"/>
      <c r="J17" s="1315"/>
      <c r="K17" s="1315"/>
      <c r="L17" s="1495"/>
      <c r="M17" s="1322"/>
      <c r="N17" s="1322"/>
      <c r="P17" s="1317"/>
      <c r="Q17" s="1318"/>
      <c r="R17" s="1317"/>
      <c r="S17" s="1323"/>
      <c r="T17" s="1326" t="s">
        <v>177</v>
      </c>
      <c r="U17" s="1325"/>
      <c r="V17" s="1325"/>
      <c r="W17" s="1325"/>
      <c r="X17" s="1325"/>
      <c r="Y17" s="1325"/>
      <c r="Z17" s="1325"/>
      <c r="AA17" s="1325"/>
      <c r="AB17" s="1325"/>
      <c r="AC17" s="1325"/>
      <c r="AD17" s="1325"/>
      <c r="AE17" s="1325"/>
      <c r="AF17" s="1325"/>
      <c r="AG17" s="1325"/>
      <c r="AH17" s="1325"/>
      <c r="AI17" s="1325"/>
      <c r="AJ17" s="1325"/>
      <c r="AK17" s="1325"/>
      <c r="AL17" s="1325"/>
      <c r="AM17" s="1325"/>
      <c r="AN17" s="1325"/>
      <c r="AO17" s="1325"/>
      <c r="AP17" s="1325"/>
      <c r="AQ17" s="1325"/>
      <c r="AR17" s="1325"/>
      <c r="AS17" s="1325"/>
      <c r="AT17" s="1325"/>
      <c r="AU17" s="1325"/>
      <c r="AV17" s="1325"/>
      <c r="AW17" s="1325"/>
      <c r="AX17" s="1325"/>
      <c r="AY17" s="1325"/>
      <c r="AZ17" s="1325"/>
      <c r="BA17" s="1325"/>
      <c r="BB17" s="1325"/>
      <c r="BC17" s="1325"/>
      <c r="BE17" s="790"/>
      <c r="BF17" s="790" t="str">
        <f>IF(T17="","",T17)</f>
        <v>Добавить централизованную систему для дифференциации</v>
      </c>
      <c r="BG17" s="790"/>
      <c r="BH17" s="790"/>
      <c r="BI17" s="519">
        <v>0</v>
      </c>
    </row>
    <row s="1643" customFormat="1" customHeight="1" ht="14.25" hidden="1">
      <c r="A18" s="1344"/>
      <c r="B18" s="1344"/>
      <c r="C18" s="1344"/>
      <c r="D18" s="1344"/>
      <c r="E18" s="2259"/>
      <c r="F18" s="1344"/>
      <c r="G18" s="1344"/>
      <c r="H18" s="1344"/>
      <c r="I18" s="1344"/>
      <c r="J18" s="1344"/>
      <c r="K18" s="1344"/>
      <c r="L18" s="1347"/>
      <c r="M18" s="1322"/>
      <c r="N18" s="1322"/>
      <c r="O18" s="519"/>
      <c r="P18" s="381"/>
      <c r="Q18" s="1345"/>
      <c r="R18" s="381"/>
      <c r="S18" s="1323"/>
      <c r="T18" s="1326" t="s">
        <v>178</v>
      </c>
      <c r="U18" s="1325"/>
      <c r="V18" s="1325"/>
      <c r="W18" s="1325"/>
      <c r="X18" s="1325"/>
      <c r="Y18" s="1325"/>
      <c r="Z18" s="1325"/>
      <c r="AA18" s="1325"/>
      <c r="AB18" s="1325"/>
      <c r="AC18" s="1325"/>
      <c r="AD18" s="1325"/>
      <c r="AE18" s="1325"/>
      <c r="AF18" s="1325"/>
      <c r="AG18" s="1325"/>
      <c r="AH18" s="1325"/>
      <c r="AI18" s="1325"/>
      <c r="AJ18" s="1325"/>
      <c r="AK18" s="1325"/>
      <c r="AL18" s="1325"/>
      <c r="AM18" s="1325"/>
      <c r="AN18" s="1325"/>
      <c r="AO18" s="1325"/>
      <c r="AP18" s="1325"/>
      <c r="AQ18" s="1325"/>
      <c r="AR18" s="1325"/>
      <c r="AS18" s="1325"/>
      <c r="AT18" s="1325"/>
      <c r="AU18" s="1325"/>
      <c r="AV18" s="1325"/>
      <c r="AW18" s="1325"/>
      <c r="AX18" s="1325"/>
      <c r="AY18" s="1325"/>
      <c r="AZ18" s="1325"/>
      <c r="BA18" s="1325"/>
      <c r="BB18" s="1325"/>
      <c r="BC18" s="1325"/>
      <c r="BE18" s="501"/>
      <c r="BF18" s="501" t="str">
        <f>IF(T18="","",T18)</f>
        <v>Добавить территорию для дифференциации</v>
      </c>
      <c r="BG18" s="501"/>
      <c r="BH18" s="501"/>
      <c r="BI18" s="512">
        <v>0</v>
      </c>
    </row>
    <row customHeight="1" ht="14.25" hidden="1">
      <c r="AC19" s="328"/>
      <c r="BA19" s="328"/>
      <c r="BI19" s="1156">
        <v>0</v>
      </c>
    </row>
    <row customHeight="1" ht="14.25" hidden="1">
      <c r="AD20" s="1325" t="s">
        <v>19</v>
      </c>
      <c r="AE20" s="1502"/>
      <c r="AF20" s="549">
        <v>1</v>
      </c>
      <c r="AG20" s="1503"/>
      <c r="AH20" s="1325" t="s">
        <v>19</v>
      </c>
      <c r="AI20" s="1502"/>
      <c r="AJ20" s="549">
        <v>1</v>
      </c>
      <c r="AK20" s="1503"/>
      <c r="AL20" s="1325" t="s">
        <v>19</v>
      </c>
      <c r="AM20" s="1504"/>
      <c r="AN20" s="549">
        <v>1</v>
      </c>
      <c r="AO20" s="1505"/>
      <c r="AP20" s="1325" t="s">
        <v>19</v>
      </c>
      <c r="AQ20" s="1504"/>
      <c r="AR20" s="549">
        <v>1</v>
      </c>
      <c r="AS20" s="1505"/>
      <c r="AT20" s="326"/>
      <c r="AU20" s="385"/>
      <c r="AV20" s="326"/>
      <c r="AW20" s="385"/>
      <c r="AX20" s="1737"/>
      <c r="AY20" s="1486" t="s">
        <v>61</v>
      </c>
      <c r="AZ20" s="1737"/>
      <c r="BA20" s="1486" t="s">
        <v>61</v>
      </c>
      <c r="BI20" s="1156">
        <v>0</v>
      </c>
    </row>
    <row customHeight="1" ht="14.25" hidden="1">
      <c r="BD21" s="497"/>
      <c r="BE21" s="497"/>
      <c r="BF21" s="497"/>
      <c r="BG21" s="497"/>
      <c r="BH21" s="497"/>
      <c r="BI21" s="1156">
        <v>0</v>
      </c>
    </row>
    <row customHeight="1" ht="14.25" hidden="1">
      <c r="O22" s="1368" t="s">
        <v>431</v>
      </c>
      <c r="Z22" s="1346"/>
      <c r="AB22" s="1346"/>
      <c r="AC22" s="328"/>
      <c r="AX22" s="1346"/>
      <c r="AZ22" s="1346"/>
      <c r="BA22" s="328"/>
      <c r="BD22" s="497"/>
      <c r="BE22" s="497"/>
      <c r="BF22" s="497"/>
      <c r="BG22" s="497"/>
      <c r="BH22" s="497"/>
      <c r="BI22" s="1156">
        <v>0</v>
      </c>
    </row>
    <row customHeight="1" ht="14.25" hidden="1">
      <c r="AC23" s="328"/>
      <c r="BA23" s="328"/>
      <c r="BD23" s="497"/>
      <c r="BE23" s="497"/>
      <c r="BF23" s="497"/>
      <c r="BG23" s="497"/>
      <c r="BH23" s="497"/>
      <c r="BI23" s="1156">
        <v>0</v>
      </c>
    </row>
    <row s="1510" customFormat="1" customHeight="1" ht="14.25" hidden="1">
      <c r="M24" s="1509"/>
      <c r="N24" s="1509"/>
      <c r="O24" s="1510" t="s">
        <v>432</v>
      </c>
      <c r="P24" s="1509"/>
      <c r="Q24" s="1511"/>
      <c r="R24" s="1511"/>
      <c r="AA24" s="1508" t="s">
        <v>434</v>
      </c>
      <c r="AC24" s="1508" t="s">
        <v>435</v>
      </c>
      <c r="AD24" s="1508" t="s">
        <v>488</v>
      </c>
      <c r="AH24" s="1508" t="s">
        <v>488</v>
      </c>
      <c r="AK24" s="1508" t="s">
        <v>525</v>
      </c>
      <c r="AL24" s="1508" t="s">
        <v>488</v>
      </c>
      <c r="AP24" s="1508" t="s">
        <v>488</v>
      </c>
      <c r="AY24" s="1508" t="s">
        <v>434</v>
      </c>
      <c r="BA24" s="1508" t="s">
        <v>435</v>
      </c>
      <c r="BD24" s="1512"/>
      <c r="BE24" s="1512"/>
      <c r="BF24" s="1512"/>
      <c r="BG24" s="1512"/>
      <c r="BH24" s="1512"/>
      <c r="BI24" s="1508">
        <v>0</v>
      </c>
    </row>
    <row customHeight="1" ht="14.25" hidden="1">
      <c r="O25" s="1365"/>
      <c r="BD25" s="497"/>
      <c r="BE25" s="497"/>
      <c r="BF25" s="497"/>
      <c r="BG25" s="497"/>
      <c r="BH25" s="497"/>
      <c r="BI25" s="1156">
        <v>0</v>
      </c>
    </row>
    <row customHeight="1" ht="14.25" hidden="1">
      <c r="O26" s="1365"/>
      <c r="BD26" s="497"/>
      <c r="BE26" s="497"/>
      <c r="BF26" s="497"/>
      <c r="BG26" s="497"/>
      <c r="BH26" s="497"/>
      <c r="BI26" s="1156">
        <v>0</v>
      </c>
    </row>
    <row customHeight="1" ht="14.699999999999998">
      <c r="Q27" s="292"/>
      <c r="R27" s="377"/>
      <c r="S27" s="1276"/>
      <c r="T27" s="364"/>
      <c r="U27" s="364"/>
      <c r="V27" s="510"/>
      <c r="W27" s="510"/>
      <c r="X27" s="510"/>
      <c r="Y27" s="510"/>
      <c r="Z27" s="510"/>
      <c r="AA27" s="510"/>
      <c r="AB27" s="510"/>
      <c r="AC27" s="510"/>
      <c r="AD27" s="510"/>
      <c r="AE27" s="510"/>
      <c r="AF27" s="510"/>
      <c r="AG27" s="510"/>
      <c r="AH27" s="510"/>
      <c r="AI27" s="510"/>
      <c r="AJ27" s="510"/>
      <c r="AK27" s="510"/>
      <c r="AL27" s="510"/>
      <c r="AM27" s="510"/>
      <c r="AN27" s="510"/>
      <c r="AO27" s="510"/>
      <c r="AP27" s="510"/>
      <c r="AQ27" s="510"/>
      <c r="AR27" s="510"/>
      <c r="AS27" s="510"/>
      <c r="AT27" s="510"/>
      <c r="AU27" s="510"/>
      <c r="AV27" s="510"/>
      <c r="AW27" s="510"/>
      <c r="AX27" s="510"/>
      <c r="AY27" s="510"/>
      <c r="AZ27" s="510"/>
      <c r="BA27" s="510"/>
      <c r="BI27" s="1156">
        <v>14</v>
      </c>
    </row>
    <row customHeight="1" ht="14.699999999999998">
      <c r="Q28" s="292"/>
      <c r="R28" s="377"/>
      <c r="S28" s="2249" t="str">
        <f>IF(TEMPLATE_GROUP="P",PT_P_FORM_VOTV_5_NAME_FORM,PT_R_FORM_VOTV_17_NAME_FORM)</f>
        <v>Форма 14. Информация о предложении организации водоотведения расчетной величины тарифов на подключение к централизованной системе водоотведения</v>
      </c>
      <c r="T28" s="2249"/>
      <c r="U28" s="2249"/>
      <c r="V28" s="2249"/>
      <c r="W28" s="2249"/>
      <c r="X28" s="2249"/>
      <c r="Y28" s="2249"/>
      <c r="Z28" s="2249"/>
      <c r="AA28" s="2249"/>
      <c r="AB28" s="2249"/>
      <c r="AC28" s="2249"/>
      <c r="AD28" s="2249"/>
      <c r="AE28" s="2249"/>
      <c r="AF28" s="2249"/>
      <c r="AG28" s="2249"/>
      <c r="AH28" s="2249"/>
      <c r="AI28" s="2249"/>
      <c r="AJ28" s="2249"/>
      <c r="AK28" s="2249"/>
      <c r="AL28" s="2249"/>
      <c r="AM28" s="2249"/>
      <c r="AN28" s="2249"/>
      <c r="AO28" s="2249"/>
      <c r="AP28" s="2249"/>
      <c r="AQ28" s="2249"/>
      <c r="AR28" s="2249"/>
      <c r="AS28" s="2249"/>
      <c r="AT28" s="2249"/>
      <c r="AU28" s="2249"/>
      <c r="AV28" s="2249"/>
      <c r="AW28" s="2249"/>
      <c r="AX28" s="2249"/>
      <c r="AY28" s="2249"/>
      <c r="AZ28" s="2249"/>
      <c r="BA28" s="1244"/>
      <c r="BI28" s="1156">
        <v>14</v>
      </c>
    </row>
    <row customHeight="1" ht="14.699999999999998">
      <c r="Q29" s="292"/>
      <c r="R29" s="377"/>
      <c r="S29" s="2250" t="str">
        <f>IF(org=0,"Не определено",org)</f>
        <v>ПАО "КГК"</v>
      </c>
      <c r="T29" s="2250"/>
      <c r="U29" s="2250"/>
      <c r="V29" s="2250"/>
      <c r="W29" s="2250"/>
      <c r="X29" s="2250"/>
      <c r="Y29" s="2250"/>
      <c r="Z29" s="2250"/>
      <c r="AA29" s="2250"/>
      <c r="AB29" s="2250"/>
      <c r="AC29" s="2250"/>
      <c r="AD29" s="2250"/>
      <c r="AE29" s="2250"/>
      <c r="AF29" s="2250"/>
      <c r="AG29" s="2250"/>
      <c r="AH29" s="2250"/>
      <c r="AI29" s="2250"/>
      <c r="AJ29" s="2250"/>
      <c r="AK29" s="2250"/>
      <c r="AL29" s="2250"/>
      <c r="AM29" s="2250"/>
      <c r="AN29" s="2250"/>
      <c r="AO29" s="2250"/>
      <c r="AP29" s="2250"/>
      <c r="AQ29" s="2250"/>
      <c r="AR29" s="2250"/>
      <c r="AS29" s="2250"/>
      <c r="AT29" s="2250"/>
      <c r="AU29" s="2250"/>
      <c r="AV29" s="2250"/>
      <c r="AW29" s="2250"/>
      <c r="AX29" s="2250"/>
      <c r="AY29" s="2250"/>
      <c r="AZ29" s="2250"/>
      <c r="BA29" s="1244"/>
      <c r="BI29" s="1156">
        <v>14</v>
      </c>
    </row>
    <row customHeight="1" ht="14.25" hidden="1">
      <c r="Q30" s="292"/>
      <c r="R30" s="377"/>
      <c r="S30" s="1276"/>
      <c r="T30" s="364"/>
      <c r="U30" s="364"/>
      <c r="V30" s="323"/>
      <c r="W30" s="323"/>
      <c r="X30" s="323"/>
      <c r="Y30" s="323"/>
      <c r="Z30" s="323"/>
      <c r="AA30" s="323"/>
      <c r="AB30" s="323"/>
      <c r="AC30" s="323"/>
      <c r="AD30" s="323"/>
      <c r="AE30" s="323"/>
      <c r="AF30" s="323"/>
      <c r="AG30" s="323"/>
      <c r="AH30" s="323"/>
      <c r="AI30" s="323"/>
      <c r="AJ30" s="323"/>
      <c r="AK30" s="323"/>
      <c r="AL30" s="323"/>
      <c r="AM30" s="323"/>
      <c r="AN30" s="323"/>
      <c r="AO30" s="323"/>
      <c r="AP30" s="323"/>
      <c r="AQ30" s="323"/>
      <c r="AR30" s="323"/>
      <c r="AS30" s="323"/>
      <c r="AT30" s="323"/>
      <c r="AU30" s="323"/>
      <c r="AV30" s="323"/>
      <c r="AW30" s="323"/>
      <c r="AX30" s="323"/>
      <c r="AY30" s="323"/>
      <c r="AZ30" s="323"/>
      <c r="BA30" s="323"/>
      <c r="BB30" s="510"/>
      <c r="BI30" s="1156">
        <v>0</v>
      </c>
    </row>
    <row s="1854" customFormat="1" customHeight="1" ht="25.5" hidden="1">
      <c r="A31" s="1369"/>
      <c r="B31" s="1369"/>
      <c r="C31" s="1369"/>
      <c r="D31" s="1369"/>
      <c r="E31" s="1369"/>
      <c r="F31" s="1369"/>
      <c r="G31" s="1369"/>
      <c r="H31" s="1369"/>
      <c r="I31" s="1369"/>
      <c r="J31" s="1369"/>
      <c r="K31" s="1369"/>
      <c r="L31" s="1370"/>
      <c r="M31" s="1369"/>
      <c r="N31" s="1369"/>
      <c r="O31" s="1369"/>
      <c r="P31" s="1369"/>
      <c r="Q31" s="1369"/>
      <c r="S31" s="2251" t="s">
        <v>42</v>
      </c>
      <c r="T31" s="2251"/>
      <c r="U31" s="1373"/>
      <c r="V31" s="2252" t="str">
        <f>IF(TITLE_NAME_OR_PR_CHANGE="",IF(TITLE_NAME_OR_PR="","",TITLE_NAME_OR_PR),TITLE_NAME_OR_PR_CHANGE)</f>
        <v/>
      </c>
      <c r="W31" s="2252"/>
      <c r="X31" s="2252"/>
      <c r="Y31" s="2252"/>
      <c r="Z31" s="2252"/>
      <c r="AA31" s="2252"/>
      <c r="AB31" s="2252"/>
      <c r="AC31" s="327"/>
      <c r="AD31" s="2252" t="str">
        <f>IF(TITLE_NAME_OR_PR_CHANGE="",IF(TITLE_NAME_OR_PR="","",TITLE_NAME_OR_PR),TITLE_NAME_OR_PR_CHANGE)</f>
        <v/>
      </c>
      <c r="AE31" s="2252"/>
      <c r="AF31" s="2252"/>
      <c r="AG31" s="2252"/>
      <c r="AH31" s="2252"/>
      <c r="AI31" s="2252"/>
      <c r="AJ31" s="2252"/>
      <c r="AK31" s="2252"/>
      <c r="AL31" s="2252"/>
      <c r="AM31" s="2252"/>
      <c r="AN31" s="2252"/>
      <c r="AO31" s="2252"/>
      <c r="AP31" s="2252"/>
      <c r="AQ31" s="2252"/>
      <c r="AR31" s="2252"/>
      <c r="AS31" s="2252"/>
      <c r="AT31" s="2252"/>
      <c r="AU31" s="2252"/>
      <c r="AV31" s="2252"/>
      <c r="AW31" s="2252"/>
      <c r="AX31" s="2252"/>
      <c r="AY31" s="2252"/>
      <c r="AZ31" s="2252"/>
      <c r="BA31" s="327"/>
      <c r="BB31" s="327"/>
      <c r="BC31" s="281"/>
      <c r="BD31" s="369"/>
      <c r="BE31" s="369"/>
      <c r="BF31" s="369"/>
      <c r="BG31" s="369"/>
      <c r="BH31" s="369"/>
      <c r="BI31" s="419">
        <v>0</v>
      </c>
    </row>
    <row s="1854" customFormat="1" customHeight="1" ht="18.75" hidden="1">
      <c r="A32" s="1369"/>
      <c r="B32" s="1369"/>
      <c r="C32" s="1369"/>
      <c r="D32" s="1369"/>
      <c r="E32" s="1369"/>
      <c r="F32" s="1369"/>
      <c r="G32" s="1369"/>
      <c r="H32" s="1369"/>
      <c r="I32" s="1369"/>
      <c r="J32" s="1369"/>
      <c r="K32" s="1369"/>
      <c r="L32" s="1370"/>
      <c r="M32" s="1369"/>
      <c r="N32" s="1369"/>
      <c r="O32" s="1369"/>
      <c r="P32" s="1369"/>
      <c r="Q32" s="1369"/>
      <c r="S32" s="2251" t="s">
        <v>437</v>
      </c>
      <c r="T32" s="2251"/>
      <c r="U32" s="1373"/>
      <c r="V32" s="2265" t="str">
        <f>IF(TITLE_DATE_PR_CHANGE="",IF(TITLE_DATE_PR="","",TITLE_DATE_PR),TITLE_DATE_PR_CHANGE)</f>
        <v>46142</v>
      </c>
      <c r="W32" s="2265"/>
      <c r="X32" s="2265"/>
      <c r="Y32" s="2265"/>
      <c r="Z32" s="2265"/>
      <c r="AA32" s="2265"/>
      <c r="AB32" s="2265"/>
      <c r="AC32" s="327"/>
      <c r="AD32" s="2265" t="str">
        <f>IF(TITLE_DATE_PR_CHANGE="",IF(TITLE_DATE_PR="","",TITLE_DATE_PR),TITLE_DATE_PR_CHANGE)</f>
        <v>46142</v>
      </c>
      <c r="AE32" s="2265"/>
      <c r="AF32" s="2265"/>
      <c r="AG32" s="2265"/>
      <c r="AH32" s="2265"/>
      <c r="AI32" s="2265"/>
      <c r="AJ32" s="2265"/>
      <c r="AK32" s="2265"/>
      <c r="AL32" s="2265"/>
      <c r="AM32" s="2265"/>
      <c r="AN32" s="2265"/>
      <c r="AO32" s="2265"/>
      <c r="AP32" s="2265"/>
      <c r="AQ32" s="2265"/>
      <c r="AR32" s="2265"/>
      <c r="AS32" s="2265"/>
      <c r="AT32" s="2265"/>
      <c r="AU32" s="2265"/>
      <c r="AV32" s="2265"/>
      <c r="AW32" s="2265"/>
      <c r="AX32" s="2265"/>
      <c r="AY32" s="2265"/>
      <c r="AZ32" s="2265"/>
      <c r="BA32" s="327"/>
      <c r="BB32" s="327"/>
      <c r="BC32" s="281"/>
      <c r="BD32" s="369"/>
      <c r="BE32" s="369"/>
      <c r="BF32" s="369"/>
      <c r="BG32" s="369"/>
      <c r="BH32" s="369"/>
      <c r="BI32" s="419">
        <v>0</v>
      </c>
    </row>
    <row s="1854" customFormat="1" customHeight="1" ht="18.75" hidden="1">
      <c r="A33" s="1369"/>
      <c r="B33" s="1369"/>
      <c r="C33" s="1369"/>
      <c r="D33" s="1369"/>
      <c r="E33" s="1369"/>
      <c r="F33" s="1369"/>
      <c r="G33" s="1369"/>
      <c r="H33" s="1369"/>
      <c r="I33" s="1369"/>
      <c r="J33" s="1369"/>
      <c r="K33" s="1369"/>
      <c r="L33" s="1370"/>
      <c r="M33" s="1369"/>
      <c r="N33" s="1369"/>
      <c r="O33" s="1369"/>
      <c r="P33" s="1369"/>
      <c r="Q33" s="1369"/>
      <c r="S33" s="2251" t="s">
        <v>438</v>
      </c>
      <c r="T33" s="2251"/>
      <c r="U33" s="1373"/>
      <c r="V33" s="2252" t="str">
        <f>IF(TITLE_NUMBER_PR_CHANGE="",IF(TITLE_NUMBER_PR="","",TITLE_NUMBER_PR),TITLE_NUMBER_PR_CHANGE)</f>
        <v>206Т</v>
      </c>
      <c r="W33" s="2252"/>
      <c r="X33" s="2252"/>
      <c r="Y33" s="2252"/>
      <c r="Z33" s="2252"/>
      <c r="AA33" s="2252"/>
      <c r="AB33" s="2252"/>
      <c r="AC33" s="327"/>
      <c r="AD33" s="2252" t="str">
        <f>IF(TITLE_NUMBER_PR_CHANGE="",IF(TITLE_NUMBER_PR="","",TITLE_NUMBER_PR),TITLE_NUMBER_PR_CHANGE)</f>
        <v>206Т</v>
      </c>
      <c r="AE33" s="2252"/>
      <c r="AF33" s="2252"/>
      <c r="AG33" s="2252"/>
      <c r="AH33" s="2252"/>
      <c r="AI33" s="2252"/>
      <c r="AJ33" s="2252"/>
      <c r="AK33" s="2252"/>
      <c r="AL33" s="2252"/>
      <c r="AM33" s="2252"/>
      <c r="AN33" s="2252"/>
      <c r="AO33" s="2252"/>
      <c r="AP33" s="2252"/>
      <c r="AQ33" s="2252"/>
      <c r="AR33" s="2252"/>
      <c r="AS33" s="2252"/>
      <c r="AT33" s="2252"/>
      <c r="AU33" s="2252"/>
      <c r="AV33" s="2252"/>
      <c r="AW33" s="2252"/>
      <c r="AX33" s="2252"/>
      <c r="AY33" s="2252"/>
      <c r="AZ33" s="2252"/>
      <c r="BA33" s="327"/>
      <c r="BB33" s="327"/>
      <c r="BC33" s="281"/>
      <c r="BD33" s="369"/>
      <c r="BE33" s="369"/>
      <c r="BF33" s="369"/>
      <c r="BG33" s="369"/>
      <c r="BH33" s="369"/>
      <c r="BI33" s="419">
        <v>0</v>
      </c>
    </row>
    <row s="1854" customFormat="1" customHeight="1" ht="18.75" hidden="1">
      <c r="A34" s="1369"/>
      <c r="B34" s="1369"/>
      <c r="C34" s="1369"/>
      <c r="D34" s="1369"/>
      <c r="E34" s="1369"/>
      <c r="F34" s="1369"/>
      <c r="G34" s="1369"/>
      <c r="H34" s="1369"/>
      <c r="I34" s="1369"/>
      <c r="J34" s="1369"/>
      <c r="K34" s="1369"/>
      <c r="L34" s="1370"/>
      <c r="M34" s="1369"/>
      <c r="N34" s="1369"/>
      <c r="O34" s="1369"/>
      <c r="P34" s="1369"/>
      <c r="Q34" s="1369"/>
      <c r="S34" s="2251" t="s">
        <v>43</v>
      </c>
      <c r="T34" s="2251"/>
      <c r="U34" s="1373"/>
      <c r="V34" s="2252" t="str">
        <f>IF(TITLE_IST_PUB_CHANGE="",IF(TITLE_IST_PUB="","",TITLE_IST_PUB),TITLE_IST_PUB_CHANGE)</f>
        <v/>
      </c>
      <c r="W34" s="2252"/>
      <c r="X34" s="2252"/>
      <c r="Y34" s="2252"/>
      <c r="Z34" s="2252"/>
      <c r="AA34" s="2252"/>
      <c r="AB34" s="2252"/>
      <c r="AC34" s="327"/>
      <c r="AD34" s="2252" t="str">
        <f>IF(TITLE_IST_PUB_CHANGE="",IF(TITLE_IST_PUB="","",TITLE_IST_PUB),TITLE_IST_PUB_CHANGE)</f>
        <v/>
      </c>
      <c r="AE34" s="2252"/>
      <c r="AF34" s="2252"/>
      <c r="AG34" s="2252"/>
      <c r="AH34" s="2252"/>
      <c r="AI34" s="2252"/>
      <c r="AJ34" s="2252"/>
      <c r="AK34" s="2252"/>
      <c r="AL34" s="2252"/>
      <c r="AM34" s="2252"/>
      <c r="AN34" s="2252"/>
      <c r="AO34" s="2252"/>
      <c r="AP34" s="2252"/>
      <c r="AQ34" s="2252"/>
      <c r="AR34" s="2252"/>
      <c r="AS34" s="2252"/>
      <c r="AT34" s="2252"/>
      <c r="AU34" s="2252"/>
      <c r="AV34" s="2252"/>
      <c r="AW34" s="2252"/>
      <c r="AX34" s="2252"/>
      <c r="AY34" s="2252"/>
      <c r="AZ34" s="2252"/>
      <c r="BA34" s="327"/>
      <c r="BB34" s="327"/>
      <c r="BC34" s="281"/>
      <c r="BD34" s="369"/>
      <c r="BE34" s="369"/>
      <c r="BF34" s="369"/>
      <c r="BG34" s="369"/>
      <c r="BH34" s="369"/>
      <c r="BI34" s="419">
        <v>0</v>
      </c>
    </row>
    <row customHeight="1" ht="14.25">
      <c r="Q35" s="292"/>
      <c r="R35" s="377"/>
      <c r="S35" s="1276"/>
      <c r="T35" s="364"/>
      <c r="U35" s="364"/>
      <c r="V35" s="323"/>
      <c r="W35" s="323"/>
      <c r="X35" s="323"/>
      <c r="Y35" s="323"/>
      <c r="Z35" s="323"/>
      <c r="AA35" s="323"/>
      <c r="AB35" s="323"/>
      <c r="AC35" s="323"/>
      <c r="AD35" s="323"/>
      <c r="AE35" s="323"/>
      <c r="AF35" s="323"/>
      <c r="AG35" s="323"/>
      <c r="AH35" s="323"/>
      <c r="AI35" s="323"/>
      <c r="AJ35" s="323"/>
      <c r="AK35" s="323"/>
      <c r="AL35" s="323"/>
      <c r="AM35" s="323"/>
      <c r="AN35" s="323"/>
      <c r="AO35" s="323"/>
      <c r="AP35" s="323"/>
      <c r="AQ35" s="323"/>
      <c r="AR35" s="323"/>
      <c r="AS35" s="323"/>
      <c r="AT35" s="323"/>
      <c r="AU35" s="323"/>
      <c r="AV35" s="323"/>
      <c r="AW35" s="323"/>
      <c r="AX35" s="323"/>
      <c r="AY35" s="323"/>
      <c r="AZ35" s="323"/>
      <c r="BA35" s="323"/>
      <c r="BB35" s="510"/>
      <c r="BI35" s="1156">
        <v>0</v>
      </c>
    </row>
    <row s="1854" customFormat="1" customHeight="1" ht="18.75">
      <c r="A36" s="1369"/>
      <c r="B36" s="1369"/>
      <c r="C36" s="1369"/>
      <c r="D36" s="1369"/>
      <c r="E36" s="1369"/>
      <c r="F36" s="1369"/>
      <c r="G36" s="1369"/>
      <c r="H36" s="1369"/>
      <c r="I36" s="1369"/>
      <c r="J36" s="1369"/>
      <c r="K36" s="1369"/>
      <c r="L36" s="1370"/>
      <c r="M36" s="1369"/>
      <c r="N36" s="1369"/>
      <c r="O36" s="1369"/>
      <c r="P36" s="1369"/>
      <c r="Q36" s="1369"/>
      <c r="S36" s="2251" t="s">
        <v>437</v>
      </c>
      <c r="T36" s="2251"/>
      <c r="U36" s="1373"/>
      <c r="V36" s="2265" t="str">
        <f>IF(TITLE_DATE_PR_CHANGE="",IF(TITLE_DATE_PR="","",TITLE_DATE_PR),TITLE_DATE_PR_CHANGE)</f>
        <v>46142</v>
      </c>
      <c r="W36" s="2265"/>
      <c r="X36" s="2265"/>
      <c r="Y36" s="2265"/>
      <c r="Z36" s="2265"/>
      <c r="AA36" s="2265"/>
      <c r="AB36" s="2265"/>
      <c r="AC36" s="327"/>
      <c r="AD36" s="2265" t="str">
        <f>IF(TITLE_DATE_PR_CHANGE="",IF(TITLE_DATE_PR="","",TITLE_DATE_PR),TITLE_DATE_PR_CHANGE)</f>
        <v>46142</v>
      </c>
      <c r="AE36" s="2265"/>
      <c r="AF36" s="2265"/>
      <c r="AG36" s="2265"/>
      <c r="AH36" s="2265"/>
      <c r="AI36" s="2265"/>
      <c r="AJ36" s="2265"/>
      <c r="AK36" s="2265"/>
      <c r="AL36" s="2265"/>
      <c r="AM36" s="2265"/>
      <c r="AN36" s="2265"/>
      <c r="AO36" s="2265"/>
      <c r="AP36" s="2265"/>
      <c r="AQ36" s="2265"/>
      <c r="AR36" s="2265"/>
      <c r="AS36" s="2265"/>
      <c r="AT36" s="2265"/>
      <c r="AU36" s="2265"/>
      <c r="AV36" s="2265"/>
      <c r="AW36" s="2265"/>
      <c r="AX36" s="2265"/>
      <c r="AY36" s="2265"/>
      <c r="AZ36" s="2265"/>
      <c r="BA36" s="327"/>
      <c r="BB36" s="327"/>
      <c r="BC36" s="281"/>
      <c r="BD36" s="369"/>
      <c r="BE36" s="369"/>
      <c r="BF36" s="369"/>
      <c r="BG36" s="369"/>
      <c r="BH36" s="369"/>
      <c r="BI36" s="419">
        <v>0</v>
      </c>
    </row>
    <row s="1854" customFormat="1" customHeight="1" ht="18.75">
      <c r="A37" s="1369"/>
      <c r="B37" s="1369"/>
      <c r="C37" s="1369"/>
      <c r="D37" s="1369"/>
      <c r="E37" s="1369"/>
      <c r="F37" s="1369"/>
      <c r="G37" s="1369"/>
      <c r="H37" s="1369"/>
      <c r="I37" s="1369"/>
      <c r="J37" s="1369"/>
      <c r="K37" s="1369"/>
      <c r="L37" s="1370"/>
      <c r="M37" s="1369"/>
      <c r="N37" s="1369"/>
      <c r="O37" s="1369"/>
      <c r="P37" s="1369"/>
      <c r="Q37" s="1369"/>
      <c r="S37" s="2251" t="s">
        <v>438</v>
      </c>
      <c r="T37" s="2251"/>
      <c r="U37" s="1373"/>
      <c r="V37" s="2252" t="str">
        <f>IF(TITLE_NUMBER_PR_CHANGE="",IF(TITLE_NUMBER_PR="","",TITLE_NUMBER_PR),TITLE_NUMBER_PR_CHANGE)</f>
        <v>206Т</v>
      </c>
      <c r="W37" s="2252"/>
      <c r="X37" s="2252"/>
      <c r="Y37" s="2252"/>
      <c r="Z37" s="2252"/>
      <c r="AA37" s="2252"/>
      <c r="AB37" s="2252"/>
      <c r="AC37" s="327"/>
      <c r="AD37" s="2252" t="str">
        <f>IF(TITLE_NUMBER_PR_CHANGE="",IF(TITLE_NUMBER_PR="","",TITLE_NUMBER_PR),TITLE_NUMBER_PR_CHANGE)</f>
        <v>206Т</v>
      </c>
      <c r="AE37" s="2252"/>
      <c r="AF37" s="2252"/>
      <c r="AG37" s="2252"/>
      <c r="AH37" s="2252"/>
      <c r="AI37" s="2252"/>
      <c r="AJ37" s="2252"/>
      <c r="AK37" s="2252"/>
      <c r="AL37" s="2252"/>
      <c r="AM37" s="2252"/>
      <c r="AN37" s="2252"/>
      <c r="AO37" s="2252"/>
      <c r="AP37" s="2252"/>
      <c r="AQ37" s="2252"/>
      <c r="AR37" s="2252"/>
      <c r="AS37" s="2252"/>
      <c r="AT37" s="2252"/>
      <c r="AU37" s="2252"/>
      <c r="AV37" s="2252"/>
      <c r="AW37" s="2252"/>
      <c r="AX37" s="2252"/>
      <c r="AY37" s="2252"/>
      <c r="AZ37" s="2252"/>
      <c r="BA37" s="327"/>
      <c r="BB37" s="327"/>
      <c r="BC37" s="281"/>
      <c r="BD37" s="369"/>
      <c r="BE37" s="369"/>
      <c r="BF37" s="369"/>
      <c r="BG37" s="369"/>
      <c r="BH37" s="369"/>
      <c r="BI37" s="419">
        <v>0</v>
      </c>
    </row>
    <row s="1854" customFormat="1" customHeight="1" ht="0">
      <c r="A38" s="1369"/>
      <c r="B38" s="1369"/>
      <c r="C38" s="1369"/>
      <c r="D38" s="1369"/>
      <c r="E38" s="1369"/>
      <c r="F38" s="1369"/>
      <c r="G38" s="1369"/>
      <c r="H38" s="1369"/>
      <c r="I38" s="1369"/>
      <c r="J38" s="1369"/>
      <c r="K38" s="1369"/>
      <c r="L38" s="1370"/>
      <c r="M38" s="1369"/>
      <c r="N38" s="1369"/>
      <c r="O38" s="1369"/>
      <c r="P38" s="1369"/>
      <c r="Q38" s="1369"/>
      <c r="S38" s="324"/>
      <c r="T38" s="324"/>
      <c r="U38" s="1489"/>
      <c r="V38" s="327"/>
      <c r="W38" s="327"/>
      <c r="X38" s="327"/>
      <c r="Y38" s="327"/>
      <c r="Z38" s="327"/>
      <c r="AA38" s="327"/>
      <c r="AB38" s="327"/>
      <c r="AC38" s="279" t="s">
        <v>441</v>
      </c>
      <c r="AD38" s="327"/>
      <c r="AE38" s="327"/>
      <c r="AF38" s="327"/>
      <c r="AG38" s="327"/>
      <c r="AH38" s="327"/>
      <c r="AI38" s="327"/>
      <c r="AJ38" s="327"/>
      <c r="AK38" s="327"/>
      <c r="AL38" s="327"/>
      <c r="AM38" s="327"/>
      <c r="AN38" s="327"/>
      <c r="AO38" s="327"/>
      <c r="AP38" s="327"/>
      <c r="AQ38" s="327"/>
      <c r="AR38" s="327"/>
      <c r="AS38" s="327"/>
      <c r="AT38" s="327"/>
      <c r="AU38" s="327"/>
      <c r="AV38" s="327"/>
      <c r="AW38" s="327"/>
      <c r="AX38" s="327"/>
      <c r="AY38" s="327"/>
      <c r="AZ38" s="327"/>
      <c r="BA38" s="279" t="s">
        <v>441</v>
      </c>
      <c r="BD38" s="369"/>
      <c r="BE38" s="369"/>
      <c r="BF38" s="369"/>
      <c r="BG38" s="369"/>
      <c r="BH38" s="369"/>
      <c r="BI38" s="419">
        <v>0</v>
      </c>
    </row>
    <row customHeight="1" ht="14.699999999999998">
      <c r="Q39" s="292"/>
      <c r="R39" s="377"/>
      <c r="S39" s="1276"/>
      <c r="T39" s="364"/>
      <c r="U39" s="1245"/>
      <c r="V39" s="2253"/>
      <c r="W39" s="2253"/>
      <c r="X39" s="2253"/>
      <c r="Y39" s="2253"/>
      <c r="Z39" s="2253"/>
      <c r="AA39" s="2253"/>
      <c r="AB39" s="2253"/>
      <c r="AC39" s="2253"/>
      <c r="AD39" s="2253"/>
      <c r="AE39" s="2253"/>
      <c r="AF39" s="2253"/>
      <c r="AG39" s="2253"/>
      <c r="AH39" s="2253"/>
      <c r="AI39" s="2253"/>
      <c r="AJ39" s="2253"/>
      <c r="AK39" s="2253"/>
      <c r="AL39" s="2253"/>
      <c r="AM39" s="2253"/>
      <c r="AN39" s="2253"/>
      <c r="AO39" s="2253"/>
      <c r="AP39" s="2253"/>
      <c r="AQ39" s="2253"/>
      <c r="AR39" s="2253"/>
      <c r="AS39" s="2253"/>
      <c r="AT39" s="2253"/>
      <c r="AU39" s="2253"/>
      <c r="AV39" s="2253"/>
      <c r="AW39" s="2253"/>
      <c r="AX39" s="2253"/>
      <c r="AY39" s="2253"/>
      <c r="AZ39" s="2253"/>
      <c r="BA39" s="2253"/>
      <c r="BI39" s="1156">
        <v>14</v>
      </c>
    </row>
    <row customHeight="1" ht="14.699999999999998">
      <c r="Q40" s="292"/>
      <c r="R40" s="377"/>
      <c r="S40" s="2128" t="s">
        <v>317</v>
      </c>
      <c r="T40" s="2128"/>
      <c r="U40" s="2128"/>
      <c r="V40" s="2128"/>
      <c r="W40" s="2128"/>
      <c r="X40" s="2128"/>
      <c r="Y40" s="2128"/>
      <c r="Z40" s="2128"/>
      <c r="AA40" s="2128"/>
      <c r="AB40" s="2128"/>
      <c r="AC40" s="2128"/>
      <c r="AD40" s="2128"/>
      <c r="AE40" s="2128"/>
      <c r="AF40" s="2128"/>
      <c r="AG40" s="2128"/>
      <c r="AH40" s="2128"/>
      <c r="AI40" s="2128"/>
      <c r="AJ40" s="2128"/>
      <c r="AK40" s="2128"/>
      <c r="AL40" s="2128"/>
      <c r="AM40" s="2128"/>
      <c r="AN40" s="2128"/>
      <c r="AO40" s="2128"/>
      <c r="AP40" s="2128"/>
      <c r="AQ40" s="2128"/>
      <c r="AR40" s="2128"/>
      <c r="AS40" s="2128"/>
      <c r="AT40" s="2128"/>
      <c r="AU40" s="2128"/>
      <c r="AV40" s="2128"/>
      <c r="AW40" s="2128"/>
      <c r="AX40" s="2128"/>
      <c r="AY40" s="2128"/>
      <c r="AZ40" s="2128"/>
      <c r="BA40" s="2128"/>
      <c r="BB40" s="2128"/>
      <c r="BC40" s="2128" t="s">
        <v>318</v>
      </c>
      <c r="BI40" s="1156">
        <v>14</v>
      </c>
    </row>
    <row customHeight="1" ht="14.699999999999998">
      <c r="Q41" s="292"/>
      <c r="R41" s="377"/>
      <c r="S41" s="2274" t="s">
        <v>89</v>
      </c>
      <c r="T41" s="2210" t="s">
        <v>526</v>
      </c>
      <c r="U41" s="302"/>
      <c r="V41" s="2275" t="s">
        <v>443</v>
      </c>
      <c r="W41" s="2276"/>
      <c r="X41" s="2276"/>
      <c r="Y41" s="2276"/>
      <c r="Z41" s="2276"/>
      <c r="AA41" s="2276"/>
      <c r="AB41" s="2277"/>
      <c r="AC41" s="2278" t="s">
        <v>444</v>
      </c>
      <c r="AD41" s="2329" t="s">
        <v>543</v>
      </c>
      <c r="AE41" s="2292"/>
      <c r="AF41" s="2292"/>
      <c r="AG41" s="2330"/>
      <c r="AH41" s="2329" t="s">
        <v>544</v>
      </c>
      <c r="AI41" s="2292"/>
      <c r="AJ41" s="2292"/>
      <c r="AK41" s="2330"/>
      <c r="AL41" s="2329" t="s">
        <v>545</v>
      </c>
      <c r="AM41" s="2292"/>
      <c r="AN41" s="2292"/>
      <c r="AO41" s="2330"/>
      <c r="AP41" s="2329" t="s">
        <v>530</v>
      </c>
      <c r="AQ41" s="2292"/>
      <c r="AR41" s="2292"/>
      <c r="AS41" s="2330"/>
      <c r="AT41" s="2275" t="s">
        <v>443</v>
      </c>
      <c r="AU41" s="2276"/>
      <c r="AV41" s="2276"/>
      <c r="AW41" s="2276"/>
      <c r="AX41" s="2276"/>
      <c r="AY41" s="2276"/>
      <c r="AZ41" s="2277"/>
      <c r="BA41" s="2278" t="s">
        <v>444</v>
      </c>
      <c r="BB41" s="2281" t="s">
        <v>446</v>
      </c>
      <c r="BC41" s="2128"/>
      <c r="BI41" s="1156">
        <v>14</v>
      </c>
    </row>
    <row customHeight="1" ht="35.699999999999996">
      <c r="Q42" s="292"/>
      <c r="R42" s="377"/>
      <c r="S42" s="2274"/>
      <c r="T42" s="2210"/>
      <c r="U42" s="1032"/>
      <c r="V42" s="2193" t="s">
        <v>531</v>
      </c>
      <c r="W42" s="2194"/>
      <c r="X42" s="2193" t="s">
        <v>532</v>
      </c>
      <c r="Y42" s="2194"/>
      <c r="Z42" s="2295" t="s">
        <v>533</v>
      </c>
      <c r="AA42" s="2314"/>
      <c r="AB42" s="2315"/>
      <c r="AC42" s="2279"/>
      <c r="AD42" s="2331"/>
      <c r="AE42" s="2332"/>
      <c r="AF42" s="2332"/>
      <c r="AG42" s="2333"/>
      <c r="AH42" s="2331"/>
      <c r="AI42" s="2332"/>
      <c r="AJ42" s="2332"/>
      <c r="AK42" s="2333"/>
      <c r="AL42" s="2331"/>
      <c r="AM42" s="2332"/>
      <c r="AN42" s="2332"/>
      <c r="AO42" s="2333"/>
      <c r="AP42" s="2331"/>
      <c r="AQ42" s="2332"/>
      <c r="AR42" s="2332"/>
      <c r="AS42" s="2333"/>
      <c r="AT42" s="2193" t="s">
        <v>546</v>
      </c>
      <c r="AU42" s="2194"/>
      <c r="AV42" s="2193" t="s">
        <v>547</v>
      </c>
      <c r="AW42" s="2194"/>
      <c r="AX42" s="2295" t="s">
        <v>533</v>
      </c>
      <c r="AY42" s="2314"/>
      <c r="AZ42" s="2315"/>
      <c r="BA42" s="2279"/>
      <c r="BB42" s="2282"/>
      <c r="BC42" s="2128"/>
      <c r="BI42" s="1156">
        <v>34</v>
      </c>
    </row>
    <row customHeight="1" ht="14.699999999999998">
      <c r="Q43" s="292"/>
      <c r="R43" s="377"/>
      <c r="S43" s="2274"/>
      <c r="T43" s="2210"/>
      <c r="U43" s="1032"/>
      <c r="V43" s="2201"/>
      <c r="W43" s="2202"/>
      <c r="X43" s="2201"/>
      <c r="Y43" s="2202"/>
      <c r="Z43" s="2296"/>
      <c r="AA43" s="2316"/>
      <c r="AB43" s="2317"/>
      <c r="AC43" s="2279"/>
      <c r="AD43" s="2331"/>
      <c r="AE43" s="2332"/>
      <c r="AF43" s="2332"/>
      <c r="AG43" s="2333"/>
      <c r="AH43" s="2331"/>
      <c r="AI43" s="2332"/>
      <c r="AJ43" s="2332"/>
      <c r="AK43" s="2333"/>
      <c r="AL43" s="2331"/>
      <c r="AM43" s="2332"/>
      <c r="AN43" s="2332"/>
      <c r="AO43" s="2333"/>
      <c r="AP43" s="2331"/>
      <c r="AQ43" s="2332"/>
      <c r="AR43" s="2332"/>
      <c r="AS43" s="2333"/>
      <c r="AT43" s="2201"/>
      <c r="AU43" s="2202"/>
      <c r="AV43" s="2201"/>
      <c r="AW43" s="2202"/>
      <c r="AX43" s="2296"/>
      <c r="AY43" s="2316"/>
      <c r="AZ43" s="2317"/>
      <c r="BA43" s="2279"/>
      <c r="BB43" s="2282"/>
      <c r="BC43" s="2128"/>
      <c r="BI43" s="1156">
        <v>14</v>
      </c>
    </row>
    <row customHeight="1" ht="14.699999999999998">
      <c r="A44" s="1371"/>
      <c r="B44" s="1371" t="s">
        <v>143</v>
      </c>
      <c r="C44" s="1371" t="s">
        <v>144</v>
      </c>
      <c r="D44" s="1371" t="s">
        <v>145</v>
      </c>
      <c r="E44" s="1365" t="s">
        <v>451</v>
      </c>
      <c r="F44" s="1365" t="s">
        <v>452</v>
      </c>
      <c r="G44" s="1365" t="s">
        <v>453</v>
      </c>
      <c r="H44" s="1365" t="s">
        <v>454</v>
      </c>
      <c r="I44" s="1365" t="s">
        <v>455</v>
      </c>
      <c r="J44" s="1365" t="s">
        <v>456</v>
      </c>
      <c r="K44" s="1365" t="s">
        <v>457</v>
      </c>
      <c r="L44" s="1365" t="s">
        <v>432</v>
      </c>
      <c r="Q44" s="292"/>
      <c r="R44" s="377"/>
      <c r="S44" s="2274"/>
      <c r="T44" s="2210"/>
      <c r="U44" s="303"/>
      <c r="V44" s="1480" t="s">
        <v>497</v>
      </c>
      <c r="W44" s="1480" t="s">
        <v>498</v>
      </c>
      <c r="X44" s="1480" t="s">
        <v>497</v>
      </c>
      <c r="Y44" s="1480" t="s">
        <v>498</v>
      </c>
      <c r="Z44" s="1490" t="s">
        <v>460</v>
      </c>
      <c r="AA44" s="2271" t="s">
        <v>461</v>
      </c>
      <c r="AB44" s="2272"/>
      <c r="AC44" s="2280"/>
      <c r="AD44" s="2334"/>
      <c r="AE44" s="2335"/>
      <c r="AF44" s="2335"/>
      <c r="AG44" s="2336"/>
      <c r="AH44" s="2334"/>
      <c r="AI44" s="2335"/>
      <c r="AJ44" s="2335"/>
      <c r="AK44" s="2336"/>
      <c r="AL44" s="2334"/>
      <c r="AM44" s="2335"/>
      <c r="AN44" s="2335"/>
      <c r="AO44" s="2336"/>
      <c r="AP44" s="2334"/>
      <c r="AQ44" s="2335"/>
      <c r="AR44" s="2335"/>
      <c r="AS44" s="2336"/>
      <c r="AT44" s="1480" t="s">
        <v>497</v>
      </c>
      <c r="AU44" s="1480" t="s">
        <v>498</v>
      </c>
      <c r="AV44" s="1480" t="s">
        <v>497</v>
      </c>
      <c r="AW44" s="1480" t="s">
        <v>498</v>
      </c>
      <c r="AX44" s="1490" t="s">
        <v>460</v>
      </c>
      <c r="AY44" s="2271" t="s">
        <v>461</v>
      </c>
      <c r="AZ44" s="2272"/>
      <c r="BA44" s="2280"/>
      <c r="BB44" s="2283"/>
      <c r="BC44" s="2128"/>
      <c r="BI44" s="1156">
        <v>14</v>
      </c>
    </row>
    <row s="1642" customFormat="1" customHeight="1" ht="11.25" hidden="1">
      <c r="A45" s="1371"/>
      <c r="B45" s="1371"/>
      <c r="C45" s="1371"/>
      <c r="D45" s="1371"/>
      <c r="E45" s="1371"/>
      <c r="F45" s="1371"/>
      <c r="G45" s="1371"/>
      <c r="H45" s="1371"/>
      <c r="I45" s="1371"/>
      <c r="J45" s="1371"/>
      <c r="K45" s="1371"/>
      <c r="L45" s="1365"/>
      <c r="M45" s="1363"/>
      <c r="N45" s="1363"/>
      <c r="O45" s="1363"/>
      <c r="P45" s="511"/>
      <c r="Q45" s="1255"/>
      <c r="R45" s="1255">
        <v>1</v>
      </c>
      <c r="S45" s="1278" t="s">
        <v>118</v>
      </c>
      <c r="T45" s="1256" t="s">
        <v>103</v>
      </c>
      <c r="U45" s="1246" t="str">
        <f>OFFSET(U45,0,-1)</f>
        <v>2</v>
      </c>
      <c r="V45" s="1483">
        <f>OFFSET(V45,0,-1)+1</f>
        <v>3</v>
      </c>
      <c r="W45" s="1483">
        <f>OFFSET(W45,0,-1)+1</f>
        <v>4</v>
      </c>
      <c r="X45" s="1483">
        <f>OFFSET(X45,0,-1)+1</f>
        <v>5</v>
      </c>
      <c r="Y45" s="1483">
        <f>OFFSET(Y45,0,-1)+1</f>
        <v>6</v>
      </c>
      <c r="Z45" s="1483">
        <f>OFFSET(Z45,0,-1)+1</f>
        <v>7</v>
      </c>
      <c r="AA45" s="2273">
        <f>OFFSET(AA45,0,-1)+1</f>
        <v>8</v>
      </c>
      <c r="AB45" s="2273"/>
      <c r="AC45" s="1483">
        <f>OFFSET(AC45,0,-2)+1</f>
        <v>9</v>
      </c>
      <c r="AD45" s="1483">
        <f>OFFSET(AD45,0,-1)+1</f>
        <v>10</v>
      </c>
      <c r="AE45" s="1483"/>
      <c r="AF45" s="1483"/>
      <c r="AG45" s="1483"/>
      <c r="AH45" s="1483"/>
      <c r="AI45" s="1483"/>
      <c r="AJ45" s="1483"/>
      <c r="AK45" s="1483"/>
      <c r="AL45" s="1483"/>
      <c r="AM45" s="1483"/>
      <c r="AN45" s="1483"/>
      <c r="AO45" s="1483"/>
      <c r="AP45" s="1483"/>
      <c r="AQ45" s="1483"/>
      <c r="AR45" s="1483"/>
      <c r="AS45" s="1483"/>
      <c r="AT45" s="1483"/>
      <c r="AU45" s="1483"/>
      <c r="AV45" s="1483"/>
      <c r="AW45" s="1483">
        <f>OFFSET(AW45,0,-1)+1</f>
        <v>1</v>
      </c>
      <c r="AX45" s="1483">
        <f>OFFSET(AX45,0,-1)+1</f>
        <v>2</v>
      </c>
      <c r="AY45" s="2273">
        <f>OFFSET(AY45,0,-1)+1</f>
        <v>3</v>
      </c>
      <c r="AZ45" s="2273"/>
      <c r="BA45" s="1483">
        <f>OFFSET(BA45,0,-2)+1</f>
        <v>4</v>
      </c>
      <c r="BB45" s="1246">
        <f>OFFSET(BB45,0,-1)</f>
        <v>4</v>
      </c>
      <c r="BC45" s="1483">
        <f>OFFSET(BC45,0,-1)+1</f>
        <v>5</v>
      </c>
      <c r="BD45" s="512"/>
      <c r="BE45" s="512"/>
      <c r="BF45" s="512"/>
      <c r="BG45" s="512"/>
      <c r="BH45" s="512"/>
      <c r="BI45" s="497">
        <v>0</v>
      </c>
    </row>
    <row customHeight="1" ht="22.049999999999997">
      <c r="A46" s="1364" t="s">
        <v>293</v>
      </c>
      <c r="B46" s="1364"/>
      <c r="C46" s="1364"/>
      <c r="D46" s="1364"/>
      <c r="E46" s="2259">
        <v>1</v>
      </c>
      <c r="F46" s="1364"/>
      <c r="G46" s="1364"/>
      <c r="H46" s="1364"/>
      <c r="I46" s="1364"/>
      <c r="J46" s="1364"/>
      <c r="K46" s="1364"/>
      <c r="L46" s="1365"/>
      <c r="M46" s="1366"/>
      <c r="N46" s="1366"/>
      <c r="O46" s="1366"/>
      <c r="P46" s="1410"/>
      <c r="Q46" s="874"/>
      <c r="R46" s="356"/>
      <c r="S46" s="1494">
        <f>INDEX(PT_DIFFERENTIATION_NUM_NTAR,MATCH(A46,PT_DIFFERENTIATION_NTAR_ID,0))</f>
        <v>0</v>
      </c>
      <c r="T46" s="299" t="s">
        <v>131</v>
      </c>
      <c r="U46" s="301"/>
      <c r="V46" s="2244"/>
      <c r="W46" s="2244"/>
      <c r="X46" s="2244"/>
      <c r="Y46" s="2244"/>
      <c r="Z46" s="2244"/>
      <c r="AA46" s="2244"/>
      <c r="AB46" s="2244"/>
      <c r="AC46" s="2245"/>
      <c r="AD46" s="2243" t="str">
        <f>INDEX(PT_DIFFERENTIATION_NTAR,MATCH(A46,PT_DIFFERENTIATION_NTAR_ID,0))</f>
        <v/>
      </c>
      <c r="AE46" s="2244"/>
      <c r="AF46" s="2244"/>
      <c r="AG46" s="2244"/>
      <c r="AH46" s="2244"/>
      <c r="AI46" s="2244"/>
      <c r="AJ46" s="2244"/>
      <c r="AK46" s="2244"/>
      <c r="AL46" s="2244"/>
      <c r="AM46" s="2244"/>
      <c r="AN46" s="2244"/>
      <c r="AO46" s="2244"/>
      <c r="AP46" s="2244"/>
      <c r="AQ46" s="2244"/>
      <c r="AR46" s="2244"/>
      <c r="AS46" s="2244"/>
      <c r="AT46" s="2244"/>
      <c r="AU46" s="2244"/>
      <c r="AV46" s="2244"/>
      <c r="AW46" s="2244"/>
      <c r="AX46" s="2244"/>
      <c r="AY46" s="2244"/>
      <c r="AZ46" s="2244"/>
      <c r="BA46" s="2244"/>
      <c r="BB46" s="2245"/>
      <c r="BC46" s="1259"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BE46" s="501"/>
      <c r="BF46" s="501" t="str">
        <f>IF(T46="","",T46)</f>
        <v>Наименование тарифа</v>
      </c>
      <c r="BG46" s="501"/>
      <c r="BH46" s="501"/>
      <c r="BI46" s="1156">
        <v>21</v>
      </c>
    </row>
    <row customHeight="1" ht="22.049999999999997">
      <c r="A47" s="1364" t="s">
        <v>293</v>
      </c>
      <c r="B47" s="1364" t="s">
        <v>294</v>
      </c>
      <c r="C47" s="1364"/>
      <c r="D47" s="1364"/>
      <c r="E47" s="2260"/>
      <c r="F47" s="2259">
        <v>1</v>
      </c>
      <c r="G47" s="1364"/>
      <c r="H47" s="1364"/>
      <c r="I47" s="1364"/>
      <c r="J47" s="1364"/>
      <c r="K47" s="1364"/>
      <c r="L47" s="1365"/>
      <c r="M47" s="1366"/>
      <c r="N47" s="1366"/>
      <c r="O47" s="1366"/>
      <c r="P47" s="1411"/>
      <c r="Q47" s="1412"/>
      <c r="R47" s="354"/>
      <c r="S47" s="1494" t="str">
        <f>INDEX(PT_DIFFERENTIATION_NUM_TER,MATCH(B47,PT_DIFFERENTIATION_TER_ID,0))</f>
        <v>.</v>
      </c>
      <c r="T47" s="309" t="s">
        <v>414</v>
      </c>
      <c r="U47" s="301"/>
      <c r="V47" s="2244"/>
      <c r="W47" s="2244"/>
      <c r="X47" s="2244"/>
      <c r="Y47" s="2244"/>
      <c r="Z47" s="2244"/>
      <c r="AA47" s="2244"/>
      <c r="AB47" s="2244"/>
      <c r="AC47" s="2245"/>
      <c r="AD47" s="2243" t="str">
        <f>INDEX(PT_DIFFERENTIATION_TER,MATCH(B47,PT_DIFFERENTIATION_TER_ID,0))</f>
        <v/>
      </c>
      <c r="AE47" s="2244"/>
      <c r="AF47" s="2244"/>
      <c r="AG47" s="2244"/>
      <c r="AH47" s="2244"/>
      <c r="AI47" s="2244"/>
      <c r="AJ47" s="2244"/>
      <c r="AK47" s="2244"/>
      <c r="AL47" s="2244"/>
      <c r="AM47" s="2244"/>
      <c r="AN47" s="2244"/>
      <c r="AO47" s="2244"/>
      <c r="AP47" s="2244"/>
      <c r="AQ47" s="2244"/>
      <c r="AR47" s="2244"/>
      <c r="AS47" s="2244"/>
      <c r="AT47" s="2244"/>
      <c r="AU47" s="2244"/>
      <c r="AV47" s="2244"/>
      <c r="AW47" s="2244"/>
      <c r="AX47" s="2244"/>
      <c r="AY47" s="2244"/>
      <c r="AZ47" s="2244"/>
      <c r="BA47" s="2244"/>
      <c r="BB47" s="2245"/>
      <c r="BC47" s="1259" t="s">
        <v>415</v>
      </c>
      <c r="BE47" s="501"/>
      <c r="BF47" s="501" t="str">
        <f>IF(T47="","",T47)</f>
        <v>Территория действия тарифа</v>
      </c>
      <c r="BG47" s="501"/>
      <c r="BH47" s="501"/>
      <c r="BI47" s="1156">
        <v>21</v>
      </c>
    </row>
    <row customHeight="1" ht="35.699999999999996">
      <c r="A48" s="1364" t="s">
        <v>293</v>
      </c>
      <c r="B48" s="1364" t="s">
        <v>294</v>
      </c>
      <c r="C48" s="1364" t="s">
        <v>295</v>
      </c>
      <c r="D48" s="1364"/>
      <c r="E48" s="2260"/>
      <c r="F48" s="2260"/>
      <c r="G48" s="2259">
        <v>1</v>
      </c>
      <c r="H48" s="1364"/>
      <c r="I48" s="1364"/>
      <c r="J48" s="1364"/>
      <c r="K48" s="1364"/>
      <c r="L48" s="1365"/>
      <c r="M48" s="1366"/>
      <c r="N48" s="1366"/>
      <c r="O48" s="1366"/>
      <c r="P48" s="1413"/>
      <c r="Q48" s="1412"/>
      <c r="R48" s="354"/>
      <c r="S48" s="1494" t="str">
        <f>INDEX(PT_DIFFERENTIATION_NUM_CS,MATCH(C48,PT_DIFFERENTIATION_CS_ID,0))</f>
        <v>..</v>
      </c>
      <c r="T48" s="310" t="s">
        <v>535</v>
      </c>
      <c r="U48" s="301"/>
      <c r="V48" s="2244"/>
      <c r="W48" s="2244"/>
      <c r="X48" s="2244"/>
      <c r="Y48" s="2244"/>
      <c r="Z48" s="2244"/>
      <c r="AA48" s="2244"/>
      <c r="AB48" s="2244"/>
      <c r="AC48" s="2245"/>
      <c r="AD48" s="2243" t="str">
        <f>INDEX(PT_DIFFERENTIATION_CS,MATCH(C48,PT_DIFFERENTIATION_CS_ID,0))</f>
        <v/>
      </c>
      <c r="AE48" s="2244"/>
      <c r="AF48" s="2244"/>
      <c r="AG48" s="2244"/>
      <c r="AH48" s="2244"/>
      <c r="AI48" s="2244"/>
      <c r="AJ48" s="2244"/>
      <c r="AK48" s="2244"/>
      <c r="AL48" s="2244"/>
      <c r="AM48" s="2244"/>
      <c r="AN48" s="2244"/>
      <c r="AO48" s="2244"/>
      <c r="AP48" s="2244"/>
      <c r="AQ48" s="2244"/>
      <c r="AR48" s="2244"/>
      <c r="AS48" s="2244"/>
      <c r="AT48" s="2244"/>
      <c r="AU48" s="2244"/>
      <c r="AV48" s="2244"/>
      <c r="AW48" s="2244"/>
      <c r="AX48" s="2244"/>
      <c r="AY48" s="2244"/>
      <c r="AZ48" s="2244"/>
      <c r="BA48" s="2244"/>
      <c r="BB48" s="2245"/>
      <c r="BC48" s="1259" t="s">
        <v>536</v>
      </c>
      <c r="BE48" s="501"/>
      <c r="BF48" s="501" t="str">
        <f>IF(T48="","",T48)</f>
        <v>Наименование централизованной системы водоотведения</v>
      </c>
      <c r="BG48" s="501"/>
      <c r="BH48" s="501"/>
      <c r="BI48" s="1156">
        <v>34</v>
      </c>
    </row>
    <row s="1643" customFormat="1" customHeight="1" ht="0">
      <c r="A49" s="1344" t="s">
        <v>293</v>
      </c>
      <c r="B49" s="1344" t="s">
        <v>294</v>
      </c>
      <c r="C49" s="1344" t="s">
        <v>295</v>
      </c>
      <c r="D49" s="1344" t="s">
        <v>548</v>
      </c>
      <c r="E49" s="2260"/>
      <c r="F49" s="2260"/>
      <c r="G49" s="2260"/>
      <c r="H49" s="2259">
        <v>1</v>
      </c>
      <c r="I49" s="1344"/>
      <c r="J49" s="1344"/>
      <c r="K49" s="1344"/>
      <c r="L49" s="1347"/>
      <c r="M49" s="1316"/>
      <c r="N49" s="1316"/>
      <c r="O49" s="1316"/>
      <c r="P49" s="1498"/>
      <c r="Q49" s="1499"/>
      <c r="R49" s="358"/>
      <c r="S49" s="1043"/>
      <c r="T49" s="1500"/>
      <c r="U49" s="1385"/>
      <c r="V49" s="2298"/>
      <c r="W49" s="2298"/>
      <c r="X49" s="2298"/>
      <c r="Y49" s="2298"/>
      <c r="Z49" s="2298"/>
      <c r="AA49" s="2298"/>
      <c r="AB49" s="2298"/>
      <c r="AC49" s="2299"/>
      <c r="AD49" s="2297"/>
      <c r="AE49" s="2298"/>
      <c r="AF49" s="2298"/>
      <c r="AG49" s="2298"/>
      <c r="AH49" s="2298"/>
      <c r="AI49" s="2298"/>
      <c r="AJ49" s="2298"/>
      <c r="AK49" s="2298"/>
      <c r="AL49" s="2298"/>
      <c r="AM49" s="2298"/>
      <c r="AN49" s="2298"/>
      <c r="AO49" s="2298"/>
      <c r="AP49" s="2298"/>
      <c r="AQ49" s="2298"/>
      <c r="AR49" s="2298"/>
      <c r="AS49" s="2298"/>
      <c r="AT49" s="2298"/>
      <c r="AU49" s="2298"/>
      <c r="AV49" s="2298"/>
      <c r="AW49" s="2298"/>
      <c r="AX49" s="2298"/>
      <c r="AY49" s="2298"/>
      <c r="AZ49" s="2298"/>
      <c r="BA49" s="2298"/>
      <c r="BB49" s="2299"/>
      <c r="BC49" s="1386" t="s">
        <v>419</v>
      </c>
      <c r="BE49" s="501"/>
      <c r="BF49" s="501" t="str">
        <f>IF(T49="","",T49)</f>
        <v/>
      </c>
      <c r="BG49" s="501"/>
      <c r="BH49" s="501"/>
      <c r="BI49" s="512">
        <v>0</v>
      </c>
    </row>
    <row s="1643" customFormat="1" customHeight="1" ht="0">
      <c r="A50" s="1344" t="s">
        <v>293</v>
      </c>
      <c r="B50" s="1344" t="s">
        <v>294</v>
      </c>
      <c r="C50" s="1344" t="s">
        <v>295</v>
      </c>
      <c r="D50" s="1344" t="s">
        <v>548</v>
      </c>
      <c r="E50" s="2260"/>
      <c r="F50" s="2260"/>
      <c r="G50" s="2260"/>
      <c r="H50" s="2260"/>
      <c r="I50" s="2257" t="str">
        <f>S49&amp;".1"</f>
        <v>.1</v>
      </c>
      <c r="J50" s="1344"/>
      <c r="K50" s="1344"/>
      <c r="L50" s="1347" t="s">
        <v>420</v>
      </c>
      <c r="M50" s="511"/>
      <c r="N50" s="511"/>
      <c r="O50" s="511"/>
      <c r="P50" s="2258">
        <v>1</v>
      </c>
      <c r="Q50" s="1482"/>
      <c r="R50" s="357"/>
      <c r="S50" s="1043"/>
      <c r="T50" s="1384"/>
      <c r="U50" s="1385"/>
      <c r="V50" s="2298"/>
      <c r="W50" s="2298"/>
      <c r="X50" s="2298"/>
      <c r="Y50" s="2298"/>
      <c r="Z50" s="2298"/>
      <c r="AA50" s="2298"/>
      <c r="AB50" s="2298"/>
      <c r="AC50" s="2299"/>
      <c r="AD50" s="2297"/>
      <c r="AE50" s="2298"/>
      <c r="AF50" s="2298"/>
      <c r="AG50" s="2298"/>
      <c r="AH50" s="2298"/>
      <c r="AI50" s="2298"/>
      <c r="AJ50" s="2298"/>
      <c r="AK50" s="2298"/>
      <c r="AL50" s="2298"/>
      <c r="AM50" s="2298"/>
      <c r="AN50" s="2298"/>
      <c r="AO50" s="2298"/>
      <c r="AP50" s="2298"/>
      <c r="AQ50" s="2298"/>
      <c r="AR50" s="2298"/>
      <c r="AS50" s="2298"/>
      <c r="AT50" s="2298"/>
      <c r="AU50" s="2298"/>
      <c r="AV50" s="2298"/>
      <c r="AW50" s="2298"/>
      <c r="AX50" s="2298"/>
      <c r="AY50" s="2298"/>
      <c r="AZ50" s="2298"/>
      <c r="BA50" s="2298"/>
      <c r="BB50" s="2299"/>
      <c r="BC50" s="1386"/>
      <c r="BE50" s="501"/>
      <c r="BF50" s="501" t="str">
        <f>IF(T50="","",T50)</f>
        <v/>
      </c>
      <c r="BG50" s="501"/>
      <c r="BH50" s="501"/>
      <c r="BI50" s="512">
        <v>0</v>
      </c>
    </row>
    <row s="1643" customFormat="1" customHeight="1" ht="0">
      <c r="A51" s="1344" t="s">
        <v>293</v>
      </c>
      <c r="B51" s="1344" t="s">
        <v>294</v>
      </c>
      <c r="C51" s="1344" t="s">
        <v>295</v>
      </c>
      <c r="D51" s="1344" t="s">
        <v>548</v>
      </c>
      <c r="E51" s="2260"/>
      <c r="F51" s="2260"/>
      <c r="G51" s="2260"/>
      <c r="H51" s="2260"/>
      <c r="I51" s="2287"/>
      <c r="J51" s="2257" t="str">
        <f>S49&amp;".1"</f>
        <v>.1</v>
      </c>
      <c r="K51" s="1344"/>
      <c r="L51" s="1347"/>
      <c r="M51" s="511"/>
      <c r="N51" s="511"/>
      <c r="O51" s="511"/>
      <c r="P51" s="2258"/>
      <c r="Q51" s="2258">
        <v>1</v>
      </c>
      <c r="R51" s="358"/>
      <c r="S51" s="1043"/>
      <c r="T51" s="1400"/>
      <c r="U51" s="1385"/>
      <c r="V51" s="2298"/>
      <c r="W51" s="2298"/>
      <c r="X51" s="2298"/>
      <c r="Y51" s="2298"/>
      <c r="Z51" s="2298"/>
      <c r="AA51" s="2298"/>
      <c r="AB51" s="2298"/>
      <c r="AC51" s="2299"/>
      <c r="AD51" s="2297"/>
      <c r="AE51" s="2298"/>
      <c r="AF51" s="2298"/>
      <c r="AG51" s="2298"/>
      <c r="AH51" s="2298"/>
      <c r="AI51" s="2298"/>
      <c r="AJ51" s="2298"/>
      <c r="AK51" s="2298"/>
      <c r="AL51" s="2298"/>
      <c r="AM51" s="2298"/>
      <c r="AN51" s="2365"/>
      <c r="AO51" s="2365"/>
      <c r="AP51" s="2298"/>
      <c r="AQ51" s="2298"/>
      <c r="AR51" s="2298"/>
      <c r="AS51" s="2298"/>
      <c r="AT51" s="2298"/>
      <c r="AU51" s="2298"/>
      <c r="AV51" s="2298"/>
      <c r="AW51" s="2298"/>
      <c r="AX51" s="2298"/>
      <c r="AY51" s="2298"/>
      <c r="AZ51" s="2298"/>
      <c r="BA51" s="2298"/>
      <c r="BB51" s="2299"/>
      <c r="BC51" s="1386"/>
      <c r="BE51" s="501"/>
      <c r="BF51" s="501" t="str">
        <f>IF(T51="","",T51)</f>
        <v/>
      </c>
      <c r="BG51" s="501"/>
      <c r="BH51" s="501"/>
      <c r="BI51" s="512">
        <v>0</v>
      </c>
    </row>
    <row customHeight="1" ht="11.549999999999999">
      <c r="A52" s="1364" t="s">
        <v>293</v>
      </c>
      <c r="B52" s="1364" t="s">
        <v>294</v>
      </c>
      <c r="C52" s="1364" t="s">
        <v>295</v>
      </c>
      <c r="D52" s="1364" t="s">
        <v>548</v>
      </c>
      <c r="E52" s="2260"/>
      <c r="F52" s="2260"/>
      <c r="G52" s="2260"/>
      <c r="H52" s="2260"/>
      <c r="I52" s="2287"/>
      <c r="J52" s="2287"/>
      <c r="K52" s="2257" t="str">
        <f>S48&amp;".1"</f>
        <v>...1</v>
      </c>
      <c r="L52" s="1365"/>
      <c r="P52" s="2258"/>
      <c r="Q52" s="2258"/>
      <c r="R52" s="358">
        <v>1</v>
      </c>
      <c r="S52" s="2342" t="str">
        <f>$K52</f>
        <v>...1</v>
      </c>
      <c r="T52" s="2361"/>
      <c r="U52" s="301"/>
      <c r="V52" s="752"/>
      <c r="W52" s="1258"/>
      <c r="X52" s="752"/>
      <c r="Y52" s="1258"/>
      <c r="Z52" s="1735"/>
      <c r="AA52" s="1470" t="s">
        <v>61</v>
      </c>
      <c r="AB52" s="1735"/>
      <c r="AC52" s="1470" t="s">
        <v>61</v>
      </c>
      <c r="AD52" s="2186" t="s">
        <v>61</v>
      </c>
      <c r="AE52" s="2327"/>
      <c r="AF52" s="2206">
        <v>1</v>
      </c>
      <c r="AG52" s="2364"/>
      <c r="AH52" s="2108" t="s">
        <v>61</v>
      </c>
      <c r="AI52" s="2327"/>
      <c r="AJ52" s="2206">
        <v>1</v>
      </c>
      <c r="AK52" s="2328" t="s">
        <v>28</v>
      </c>
      <c r="AL52" s="2108" t="s">
        <v>61</v>
      </c>
      <c r="AM52" s="2193"/>
      <c r="AN52" s="2206">
        <v>1</v>
      </c>
      <c r="AO52" s="2358"/>
      <c r="AP52" s="2359" t="s">
        <v>61</v>
      </c>
      <c r="AQ52" s="312"/>
      <c r="AR52" s="1487">
        <v>1</v>
      </c>
      <c r="AS52" s="1493" t="s">
        <v>28</v>
      </c>
      <c r="AT52" s="752"/>
      <c r="AU52" s="1258"/>
      <c r="AV52" s="752"/>
      <c r="AW52" s="1258"/>
      <c r="AX52" s="1735"/>
      <c r="AY52" s="1470" t="s">
        <v>61</v>
      </c>
      <c r="AZ52" s="1735"/>
      <c r="BA52" s="1470" t="s">
        <v>61</v>
      </c>
      <c r="BB52" s="1349"/>
      <c r="BC52" s="2254" t="s">
        <v>520</v>
      </c>
      <c r="BE52" s="501"/>
      <c r="BF52" s="501" t="str">
        <f>IF(T52="","",T52)</f>
        <v/>
      </c>
      <c r="BG52" s="501"/>
      <c r="BH52" s="501"/>
      <c r="BI52" s="1156">
        <v>11</v>
      </c>
    </row>
    <row customHeight="1" ht="11.549999999999999">
      <c r="A53" s="1364"/>
      <c r="B53" s="1364"/>
      <c r="C53" s="1364"/>
      <c r="D53" s="1364"/>
      <c r="E53" s="2260"/>
      <c r="F53" s="2260"/>
      <c r="G53" s="2260"/>
      <c r="H53" s="2260"/>
      <c r="I53" s="2287"/>
      <c r="J53" s="2287"/>
      <c r="K53" s="2257"/>
      <c r="L53" s="1365"/>
      <c r="P53" s="2258"/>
      <c r="Q53" s="2258"/>
      <c r="R53" s="358"/>
      <c r="S53" s="2343"/>
      <c r="T53" s="2362"/>
      <c r="U53" s="301"/>
      <c r="V53" s="1394"/>
      <c r="W53" s="1497"/>
      <c r="X53" s="1394"/>
      <c r="Y53" s="1497"/>
      <c r="Z53" s="1394"/>
      <c r="AA53" s="1394"/>
      <c r="AB53" s="1394"/>
      <c r="AC53" s="1394"/>
      <c r="AD53" s="2187"/>
      <c r="AE53" s="2327"/>
      <c r="AF53" s="2206"/>
      <c r="AG53" s="2364"/>
      <c r="AH53" s="2108"/>
      <c r="AI53" s="2327"/>
      <c r="AJ53" s="2206"/>
      <c r="AK53" s="2328"/>
      <c r="AL53" s="2108"/>
      <c r="AM53" s="2201"/>
      <c r="AN53" s="2206"/>
      <c r="AO53" s="2358"/>
      <c r="AP53" s="2360"/>
      <c r="AQ53" s="317"/>
      <c r="AR53" s="417"/>
      <c r="AS53" s="417" t="s">
        <v>521</v>
      </c>
      <c r="AT53" s="1394"/>
      <c r="AU53" s="1497"/>
      <c r="AV53" s="1394"/>
      <c r="AW53" s="1497"/>
      <c r="AX53" s="1394"/>
      <c r="AY53" s="1394"/>
      <c r="AZ53" s="1394"/>
      <c r="BA53" s="1394"/>
      <c r="BB53" s="1398"/>
      <c r="BC53" s="2255"/>
      <c r="BE53" s="501"/>
      <c r="BF53" s="501"/>
      <c r="BG53" s="501"/>
      <c r="BH53" s="501"/>
      <c r="BI53" s="1156">
        <v>11</v>
      </c>
    </row>
    <row customHeight="1" ht="11.549999999999999">
      <c r="A54" s="1364" t="s">
        <v>293</v>
      </c>
      <c r="B54" s="1364"/>
      <c r="C54" s="1364"/>
      <c r="D54" s="1364"/>
      <c r="E54" s="2260"/>
      <c r="F54" s="2260"/>
      <c r="G54" s="2260"/>
      <c r="H54" s="2260"/>
      <c r="I54" s="2287"/>
      <c r="J54" s="2287"/>
      <c r="K54" s="2257"/>
      <c r="L54" s="1365"/>
      <c r="P54" s="2258"/>
      <c r="Q54" s="2258"/>
      <c r="R54" s="358"/>
      <c r="S54" s="2343"/>
      <c r="T54" s="2362"/>
      <c r="U54" s="301"/>
      <c r="V54" s="1394"/>
      <c r="W54" s="1497"/>
      <c r="X54" s="1394"/>
      <c r="Y54" s="1497"/>
      <c r="Z54" s="1394"/>
      <c r="AA54" s="1394"/>
      <c r="AB54" s="1394"/>
      <c r="AC54" s="1394"/>
      <c r="AD54" s="2187"/>
      <c r="AE54" s="2327"/>
      <c r="AF54" s="2206"/>
      <c r="AG54" s="2364"/>
      <c r="AH54" s="2108"/>
      <c r="AI54" s="2327"/>
      <c r="AJ54" s="2206"/>
      <c r="AK54" s="2328"/>
      <c r="AL54" s="2108"/>
      <c r="AM54" s="317"/>
      <c r="AN54" s="1501"/>
      <c r="AO54" s="1501" t="s">
        <v>541</v>
      </c>
      <c r="AP54" s="417"/>
      <c r="AQ54" s="417"/>
      <c r="AR54" s="417"/>
      <c r="AS54" s="1394"/>
      <c r="AT54" s="1394"/>
      <c r="AU54" s="1497"/>
      <c r="AV54" s="1394"/>
      <c r="AW54" s="1497"/>
      <c r="AX54" s="1394"/>
      <c r="AY54" s="1394"/>
      <c r="AZ54" s="1394"/>
      <c r="BA54" s="1394"/>
      <c r="BB54" s="1398"/>
      <c r="BC54" s="2255"/>
      <c r="BE54" s="501"/>
      <c r="BF54" s="501"/>
      <c r="BG54" s="501"/>
      <c r="BH54" s="501"/>
      <c r="BI54" s="1156">
        <v>11</v>
      </c>
    </row>
    <row customHeight="1" ht="11.549999999999999">
      <c r="A55" s="1364" t="s">
        <v>293</v>
      </c>
      <c r="B55" s="1364"/>
      <c r="C55" s="1364"/>
      <c r="D55" s="1364"/>
      <c r="E55" s="2260"/>
      <c r="F55" s="2260"/>
      <c r="G55" s="2260"/>
      <c r="H55" s="2260"/>
      <c r="I55" s="2287"/>
      <c r="J55" s="2287"/>
      <c r="K55" s="2257"/>
      <c r="L55" s="1365"/>
      <c r="P55" s="2258"/>
      <c r="Q55" s="2258"/>
      <c r="R55" s="358"/>
      <c r="S55" s="2343"/>
      <c r="T55" s="2362"/>
      <c r="U55" s="301"/>
      <c r="V55" s="1394"/>
      <c r="W55" s="1497"/>
      <c r="X55" s="1394"/>
      <c r="Y55" s="1497"/>
      <c r="Z55" s="1394"/>
      <c r="AA55" s="1394"/>
      <c r="AB55" s="1394"/>
      <c r="AC55" s="1394"/>
      <c r="AD55" s="2187"/>
      <c r="AE55" s="2327"/>
      <c r="AF55" s="2206"/>
      <c r="AG55" s="2364"/>
      <c r="AH55" s="2108"/>
      <c r="AI55" s="295"/>
      <c r="AJ55" s="416"/>
      <c r="AK55" s="314" t="s">
        <v>542</v>
      </c>
      <c r="AL55" s="1394"/>
      <c r="AM55" s="1394"/>
      <c r="AN55" s="1394"/>
      <c r="AO55" s="1394"/>
      <c r="AP55" s="1394"/>
      <c r="AQ55" s="1394"/>
      <c r="AR55" s="1394"/>
      <c r="AS55" s="1394"/>
      <c r="AT55" s="1394"/>
      <c r="AU55" s="1497"/>
      <c r="AV55" s="1394"/>
      <c r="AW55" s="1497"/>
      <c r="AX55" s="1394"/>
      <c r="AY55" s="1394"/>
      <c r="AZ55" s="1394"/>
      <c r="BA55" s="1394"/>
      <c r="BB55" s="1398"/>
      <c r="BC55" s="2255"/>
      <c r="BE55" s="501"/>
      <c r="BF55" s="501"/>
      <c r="BG55" s="501"/>
      <c r="BH55" s="501"/>
      <c r="BI55" s="1156">
        <v>11</v>
      </c>
    </row>
    <row customHeight="1" ht="11.549999999999999">
      <c r="A56" s="1364" t="s">
        <v>293</v>
      </c>
      <c r="B56" s="1364" t="s">
        <v>294</v>
      </c>
      <c r="C56" s="1364" t="s">
        <v>295</v>
      </c>
      <c r="D56" s="1364" t="s">
        <v>548</v>
      </c>
      <c r="E56" s="2260"/>
      <c r="F56" s="2260"/>
      <c r="G56" s="2260"/>
      <c r="H56" s="2260"/>
      <c r="I56" s="2287"/>
      <c r="J56" s="2287"/>
      <c r="K56" s="2257"/>
      <c r="L56" s="1365"/>
      <c r="P56" s="2258"/>
      <c r="Q56" s="2258"/>
      <c r="R56" s="358"/>
      <c r="S56" s="2344"/>
      <c r="T56" s="2363"/>
      <c r="U56" s="301"/>
      <c r="V56" s="1394"/>
      <c r="W56" s="1395" t="str">
        <f>Z52&amp;"-"&amp;AB52</f>
        <v>-</v>
      </c>
      <c r="X56" s="1394"/>
      <c r="Y56" s="1395" t="str">
        <f>AB52&amp;"-"&amp;AD52</f>
        <v>-да</v>
      </c>
      <c r="Z56" s="1394"/>
      <c r="AA56" s="1394"/>
      <c r="AB56" s="1394"/>
      <c r="AC56" s="1394"/>
      <c r="AD56" s="2113"/>
      <c r="AE56" s="313"/>
      <c r="AF56" s="315"/>
      <c r="AG56" s="417" t="s">
        <v>524</v>
      </c>
      <c r="AH56" s="1394"/>
      <c r="AI56" s="1394"/>
      <c r="AJ56" s="1394"/>
      <c r="AK56" s="1394"/>
      <c r="AL56" s="1394"/>
      <c r="AM56" s="1394"/>
      <c r="AN56" s="1394"/>
      <c r="AO56" s="1394"/>
      <c r="AP56" s="1394"/>
      <c r="AQ56" s="1394"/>
      <c r="AR56" s="1394"/>
      <c r="AS56" s="1394"/>
      <c r="AT56" s="1394"/>
      <c r="AU56" s="1395" t="str">
        <f>AX52&amp;"-"&amp;AZ52</f>
        <v>-</v>
      </c>
      <c r="AV56" s="1394"/>
      <c r="AW56" s="1395" t="str">
        <f>AZ52&amp;"-"&amp;BB52</f>
        <v>-</v>
      </c>
      <c r="AX56" s="1394"/>
      <c r="AY56" s="1394"/>
      <c r="AZ56" s="1394"/>
      <c r="BA56" s="1394"/>
      <c r="BB56" s="1397" t="str">
        <f>BE52&amp;"-"&amp;BG52</f>
        <v>-</v>
      </c>
      <c r="BC56" s="2255"/>
      <c r="BE56" s="501"/>
      <c r="BF56" s="501" t="str">
        <f>IF(T56="","",T56)</f>
        <v/>
      </c>
      <c r="BG56" s="501"/>
      <c r="BH56" s="501"/>
      <c r="BI56" s="1156">
        <v>11</v>
      </c>
    </row>
    <row customHeight="1" ht="11.549999999999999">
      <c r="A57" s="1364" t="s">
        <v>293</v>
      </c>
      <c r="B57" s="1364" t="s">
        <v>294</v>
      </c>
      <c r="C57" s="1364" t="s">
        <v>295</v>
      </c>
      <c r="D57" s="1364" t="s">
        <v>548</v>
      </c>
      <c r="E57" s="2260"/>
      <c r="F57" s="2260"/>
      <c r="G57" s="2260"/>
      <c r="H57" s="2260"/>
      <c r="I57" s="2287"/>
      <c r="J57" s="2257"/>
      <c r="K57" s="1364"/>
      <c r="L57" s="1365"/>
      <c r="P57" s="2258"/>
      <c r="Q57" s="2258"/>
      <c r="R57" s="357"/>
      <c r="S57" s="1279"/>
      <c r="T57" s="288" t="s">
        <v>487</v>
      </c>
      <c r="U57" s="368"/>
      <c r="V57" s="368"/>
      <c r="W57" s="368"/>
      <c r="X57" s="368"/>
      <c r="Y57" s="368"/>
      <c r="Z57" s="368"/>
      <c r="AA57" s="368"/>
      <c r="AB57" s="368"/>
      <c r="AC57" s="325"/>
      <c r="AD57" s="1506"/>
      <c r="AE57" s="368"/>
      <c r="AF57" s="368"/>
      <c r="AG57" s="368"/>
      <c r="AH57" s="368"/>
      <c r="AI57" s="368"/>
      <c r="AJ57" s="368"/>
      <c r="AK57" s="368"/>
      <c r="AL57" s="368"/>
      <c r="AM57" s="368"/>
      <c r="AN57" s="368"/>
      <c r="AO57" s="368"/>
      <c r="AP57" s="368"/>
      <c r="AQ57" s="368"/>
      <c r="AR57" s="368"/>
      <c r="AS57" s="368"/>
      <c r="AT57" s="368"/>
      <c r="AU57" s="368"/>
      <c r="AV57" s="368"/>
      <c r="AW57" s="368"/>
      <c r="AX57" s="368"/>
      <c r="AY57" s="368"/>
      <c r="AZ57" s="368"/>
      <c r="BA57" s="368"/>
      <c r="BB57" s="325"/>
      <c r="BC57" s="2256"/>
      <c r="BE57" s="501"/>
      <c r="BF57" s="501" t="str">
        <f>IF(T57="","",T57)</f>
        <v>Добавить строку</v>
      </c>
      <c r="BG57" s="501"/>
      <c r="BH57" s="501"/>
      <c r="BI57" s="1156">
        <v>11</v>
      </c>
    </row>
    <row s="1643" customFormat="1" customHeight="1" ht="0">
      <c r="A58" s="1344" t="s">
        <v>293</v>
      </c>
      <c r="B58" s="1344" t="s">
        <v>294</v>
      </c>
      <c r="C58" s="1344" t="s">
        <v>295</v>
      </c>
      <c r="D58" s="1344" t="s">
        <v>548</v>
      </c>
      <c r="E58" s="2260"/>
      <c r="F58" s="2260"/>
      <c r="G58" s="2260"/>
      <c r="H58" s="2260"/>
      <c r="I58" s="2257"/>
      <c r="J58" s="1344"/>
      <c r="K58" s="1344"/>
      <c r="L58" s="1347"/>
      <c r="M58" s="511"/>
      <c r="N58" s="511"/>
      <c r="O58" s="511"/>
      <c r="P58" s="2258"/>
      <c r="Q58" s="1482"/>
      <c r="R58" s="357"/>
      <c r="S58" s="1387"/>
      <c r="T58" s="1388"/>
      <c r="U58" s="1389"/>
      <c r="V58" s="1389"/>
      <c r="W58" s="1389"/>
      <c r="X58" s="1389"/>
      <c r="Y58" s="1389"/>
      <c r="Z58" s="1389"/>
      <c r="AA58" s="1389"/>
      <c r="AB58" s="1389"/>
      <c r="AC58" s="1389"/>
      <c r="AD58" s="1389"/>
      <c r="AE58" s="1389"/>
      <c r="AF58" s="1389"/>
      <c r="AG58" s="1389"/>
      <c r="AH58" s="1389"/>
      <c r="AI58" s="1389"/>
      <c r="AJ58" s="1389"/>
      <c r="AK58" s="1389"/>
      <c r="AL58" s="1389"/>
      <c r="AM58" s="1389"/>
      <c r="AN58" s="1389"/>
      <c r="AO58" s="1389"/>
      <c r="AP58" s="1389"/>
      <c r="AQ58" s="1389"/>
      <c r="AR58" s="1389"/>
      <c r="AS58" s="1389"/>
      <c r="AT58" s="1389"/>
      <c r="AU58" s="1389"/>
      <c r="AV58" s="1389"/>
      <c r="AW58" s="1389"/>
      <c r="AX58" s="1389"/>
      <c r="AY58" s="1389"/>
      <c r="AZ58" s="1389"/>
      <c r="BA58" s="1389"/>
      <c r="BB58" s="1389"/>
      <c r="BC58" s="1390"/>
      <c r="BE58" s="501"/>
      <c r="BF58" s="501" t="str">
        <f>IF(T58="","",T58)</f>
        <v/>
      </c>
      <c r="BG58" s="501"/>
      <c r="BH58" s="501"/>
      <c r="BI58" s="512">
        <v>0</v>
      </c>
    </row>
    <row s="1643" customFormat="1" customHeight="1" ht="0">
      <c r="A59" s="1344" t="s">
        <v>293</v>
      </c>
      <c r="B59" s="1344" t="s">
        <v>294</v>
      </c>
      <c r="C59" s="1344" t="s">
        <v>295</v>
      </c>
      <c r="D59" s="1344" t="s">
        <v>548</v>
      </c>
      <c r="E59" s="2260"/>
      <c r="F59" s="2260"/>
      <c r="G59" s="2260"/>
      <c r="H59" s="2259"/>
      <c r="I59" s="1344"/>
      <c r="J59" s="1344"/>
      <c r="K59" s="1344"/>
      <c r="L59" s="1347"/>
      <c r="M59" s="1316"/>
      <c r="N59" s="1316"/>
      <c r="O59" s="519"/>
      <c r="P59" s="381"/>
      <c r="Q59" s="1345"/>
      <c r="R59" s="1402"/>
      <c r="S59" s="1387"/>
      <c r="T59" s="1388"/>
      <c r="U59" s="1389"/>
      <c r="V59" s="1389"/>
      <c r="W59" s="1389"/>
      <c r="X59" s="1389"/>
      <c r="Y59" s="1389"/>
      <c r="Z59" s="1389"/>
      <c r="AA59" s="1389"/>
      <c r="AB59" s="1389"/>
      <c r="AC59" s="1389"/>
      <c r="AD59" s="1389"/>
      <c r="AE59" s="1389"/>
      <c r="AF59" s="1389"/>
      <c r="AG59" s="1389"/>
      <c r="AH59" s="1389"/>
      <c r="AI59" s="1389"/>
      <c r="AJ59" s="1389"/>
      <c r="AK59" s="1389"/>
      <c r="AL59" s="1389"/>
      <c r="AM59" s="1389"/>
      <c r="AN59" s="1389"/>
      <c r="AO59" s="1389"/>
      <c r="AP59" s="1389"/>
      <c r="AQ59" s="1389"/>
      <c r="AR59" s="1389"/>
      <c r="AS59" s="1389"/>
      <c r="AT59" s="1389"/>
      <c r="AU59" s="1389"/>
      <c r="AV59" s="1389"/>
      <c r="AW59" s="1389"/>
      <c r="AX59" s="1389"/>
      <c r="AY59" s="1389"/>
      <c r="AZ59" s="1389"/>
      <c r="BA59" s="1389"/>
      <c r="BB59" s="1389"/>
      <c r="BC59" s="1390"/>
      <c r="BE59" s="501"/>
      <c r="BF59" s="501" t="str">
        <f>IF(T59="","",T59)</f>
        <v/>
      </c>
      <c r="BG59" s="501"/>
      <c r="BH59" s="501"/>
      <c r="BI59" s="512">
        <v>0</v>
      </c>
    </row>
    <row s="1643" customFormat="1" customHeight="1" ht="0">
      <c r="A60" s="1344" t="s">
        <v>293</v>
      </c>
      <c r="B60" s="1344" t="s">
        <v>294</v>
      </c>
      <c r="C60" s="1344" t="s">
        <v>295</v>
      </c>
      <c r="D60" s="1315"/>
      <c r="E60" s="2260"/>
      <c r="F60" s="2260"/>
      <c r="G60" s="2259"/>
      <c r="H60" s="1315"/>
      <c r="I60" s="1315"/>
      <c r="J60" s="1315"/>
      <c r="K60" s="1315"/>
      <c r="L60" s="1495"/>
      <c r="M60" s="1316"/>
      <c r="N60" s="1316"/>
      <c r="P60" s="1317"/>
      <c r="Q60" s="1318"/>
      <c r="R60" s="1317"/>
      <c r="S60" s="1323"/>
      <c r="T60" s="1326"/>
      <c r="U60" s="1325"/>
      <c r="V60" s="1325"/>
      <c r="W60" s="1325"/>
      <c r="X60" s="1325"/>
      <c r="Y60" s="1325"/>
      <c r="Z60" s="1325"/>
      <c r="AA60" s="1325"/>
      <c r="AB60" s="1325"/>
      <c r="AC60" s="1325"/>
      <c r="AD60" s="1325"/>
      <c r="AE60" s="1325"/>
      <c r="AF60" s="1325"/>
      <c r="AG60" s="1325"/>
      <c r="AH60" s="1325"/>
      <c r="AI60" s="1325"/>
      <c r="AJ60" s="1325"/>
      <c r="AK60" s="1325"/>
      <c r="AL60" s="1325"/>
      <c r="AM60" s="1325"/>
      <c r="AN60" s="1325"/>
      <c r="AO60" s="1325"/>
      <c r="AP60" s="1325"/>
      <c r="AQ60" s="1325"/>
      <c r="AR60" s="1325"/>
      <c r="AS60" s="1325"/>
      <c r="AT60" s="1325"/>
      <c r="AU60" s="1325"/>
      <c r="AV60" s="1325"/>
      <c r="AW60" s="1325"/>
      <c r="AX60" s="1325"/>
      <c r="AY60" s="1325"/>
      <c r="AZ60" s="1325"/>
      <c r="BA60" s="1325"/>
      <c r="BB60" s="1325"/>
      <c r="BC60" s="1325"/>
      <c r="BE60" s="790"/>
      <c r="BF60" s="790" t="str">
        <f>IF(T60="","",T60)</f>
        <v/>
      </c>
      <c r="BG60" s="790"/>
      <c r="BH60" s="790"/>
      <c r="BI60" s="519">
        <v>0</v>
      </c>
    </row>
    <row s="1643" customFormat="1" customHeight="1" ht="0">
      <c r="A61" s="1344" t="s">
        <v>293</v>
      </c>
      <c r="B61" s="1344" t="s">
        <v>294</v>
      </c>
      <c r="C61" s="1315"/>
      <c r="D61" s="1315"/>
      <c r="E61" s="2260"/>
      <c r="F61" s="2259"/>
      <c r="G61" s="1315"/>
      <c r="H61" s="1315"/>
      <c r="I61" s="1315"/>
      <c r="J61" s="1315"/>
      <c r="K61" s="1315"/>
      <c r="L61" s="1495"/>
      <c r="M61" s="1322"/>
      <c r="N61" s="1322"/>
      <c r="P61" s="1317"/>
      <c r="Q61" s="1318"/>
      <c r="R61" s="1317"/>
      <c r="S61" s="1323"/>
      <c r="T61" s="1326" t="s">
        <v>177</v>
      </c>
      <c r="U61" s="1325"/>
      <c r="V61" s="1325"/>
      <c r="W61" s="1325"/>
      <c r="X61" s="1325"/>
      <c r="Y61" s="1325"/>
      <c r="Z61" s="1325"/>
      <c r="AA61" s="1325"/>
      <c r="AB61" s="1325"/>
      <c r="AC61" s="1325"/>
      <c r="AD61" s="1325"/>
      <c r="AE61" s="1325"/>
      <c r="AF61" s="1325"/>
      <c r="AG61" s="1325"/>
      <c r="AH61" s="1325"/>
      <c r="AI61" s="1325"/>
      <c r="AJ61" s="1325"/>
      <c r="AK61" s="1325"/>
      <c r="AL61" s="1325"/>
      <c r="AM61" s="1325"/>
      <c r="AN61" s="1325"/>
      <c r="AO61" s="1325"/>
      <c r="AP61" s="1325"/>
      <c r="AQ61" s="1325"/>
      <c r="AR61" s="1325"/>
      <c r="AS61" s="1325"/>
      <c r="AT61" s="1325"/>
      <c r="AU61" s="1325"/>
      <c r="AV61" s="1325"/>
      <c r="AW61" s="1325"/>
      <c r="AX61" s="1325"/>
      <c r="AY61" s="1325"/>
      <c r="AZ61" s="1325"/>
      <c r="BA61" s="1325"/>
      <c r="BB61" s="1325"/>
      <c r="BC61" s="1325"/>
      <c r="BE61" s="790"/>
      <c r="BF61" s="790" t="str">
        <f>IF(T61="","",T61)</f>
        <v>Добавить централизованную систему для дифференциации</v>
      </c>
      <c r="BG61" s="790"/>
      <c r="BH61" s="790"/>
      <c r="BI61" s="519">
        <v>0</v>
      </c>
    </row>
    <row s="1643" customFormat="1" customHeight="1" ht="0">
      <c r="A62" s="1344" t="s">
        <v>293</v>
      </c>
      <c r="B62" s="1344"/>
      <c r="C62" s="1344"/>
      <c r="D62" s="1344"/>
      <c r="E62" s="2259"/>
      <c r="F62" s="1344"/>
      <c r="G62" s="1344"/>
      <c r="H62" s="1344"/>
      <c r="I62" s="1344"/>
      <c r="J62" s="1344"/>
      <c r="K62" s="1344"/>
      <c r="L62" s="1347"/>
      <c r="M62" s="1322"/>
      <c r="N62" s="1322"/>
      <c r="O62" s="519"/>
      <c r="P62" s="381"/>
      <c r="Q62" s="1345"/>
      <c r="R62" s="381"/>
      <c r="S62" s="1323"/>
      <c r="T62" s="1326" t="s">
        <v>178</v>
      </c>
      <c r="U62" s="1325"/>
      <c r="V62" s="1325"/>
      <c r="W62" s="1325"/>
      <c r="X62" s="1325"/>
      <c r="Y62" s="1325"/>
      <c r="Z62" s="1325"/>
      <c r="AA62" s="1325"/>
      <c r="AB62" s="1325"/>
      <c r="AC62" s="1325"/>
      <c r="AD62" s="1325"/>
      <c r="AE62" s="1325"/>
      <c r="AF62" s="1325"/>
      <c r="AG62" s="1325"/>
      <c r="AH62" s="1325"/>
      <c r="AI62" s="1325"/>
      <c r="AJ62" s="1325"/>
      <c r="AK62" s="1325"/>
      <c r="AL62" s="1325"/>
      <c r="AM62" s="1325"/>
      <c r="AN62" s="1325"/>
      <c r="AO62" s="1325"/>
      <c r="AP62" s="1325"/>
      <c r="AQ62" s="1325"/>
      <c r="AR62" s="1325"/>
      <c r="AS62" s="1325"/>
      <c r="AT62" s="1325"/>
      <c r="AU62" s="1325"/>
      <c r="AV62" s="1325"/>
      <c r="AW62" s="1325"/>
      <c r="AX62" s="1325"/>
      <c r="AY62" s="1325"/>
      <c r="AZ62" s="1325"/>
      <c r="BA62" s="1325"/>
      <c r="BB62" s="1325"/>
      <c r="BC62" s="1325"/>
      <c r="BE62" s="501"/>
      <c r="BF62" s="501" t="str">
        <f>IF(T62="","",T62)</f>
        <v>Добавить территорию для дифференциации</v>
      </c>
      <c r="BG62" s="501"/>
      <c r="BH62" s="501"/>
      <c r="BI62" s="512">
        <v>0</v>
      </c>
    </row>
    <row s="1643" customFormat="1" customHeight="1" ht="0">
      <c r="A63" s="1315"/>
      <c r="B63" s="1315"/>
      <c r="C63" s="1315"/>
      <c r="D63" s="1315"/>
      <c r="E63" s="1344"/>
      <c r="F63" s="1315"/>
      <c r="G63" s="1315"/>
      <c r="H63" s="1315"/>
      <c r="I63" s="1315"/>
      <c r="J63" s="1315"/>
      <c r="K63" s="1315"/>
      <c r="L63" s="1495"/>
      <c r="M63" s="1322"/>
      <c r="N63" s="1322"/>
      <c r="P63" s="1317"/>
      <c r="Q63" s="1318"/>
      <c r="R63" s="1317"/>
      <c r="S63" s="1323"/>
      <c r="T63" s="1326" t="s">
        <v>184</v>
      </c>
      <c r="U63" s="1325"/>
      <c r="V63" s="1325"/>
      <c r="W63" s="1325"/>
      <c r="X63" s="1325"/>
      <c r="Y63" s="1325"/>
      <c r="Z63" s="1325"/>
      <c r="AA63" s="1325"/>
      <c r="AB63" s="1325"/>
      <c r="AC63" s="1325"/>
      <c r="AD63" s="1325"/>
      <c r="AE63" s="1325"/>
      <c r="AF63" s="1325"/>
      <c r="AG63" s="1325"/>
      <c r="AH63" s="1325"/>
      <c r="AI63" s="1325"/>
      <c r="AJ63" s="1325"/>
      <c r="AK63" s="1325"/>
      <c r="AL63" s="1325"/>
      <c r="AM63" s="1325"/>
      <c r="AN63" s="1325"/>
      <c r="AO63" s="1325"/>
      <c r="AP63" s="1325"/>
      <c r="AQ63" s="1325"/>
      <c r="AR63" s="1325"/>
      <c r="AS63" s="1325"/>
      <c r="AT63" s="1325"/>
      <c r="AU63" s="1325"/>
      <c r="AV63" s="1325"/>
      <c r="AW63" s="1325"/>
      <c r="AX63" s="1325"/>
      <c r="AY63" s="1325"/>
      <c r="AZ63" s="1325"/>
      <c r="BA63" s="1325"/>
      <c r="BB63" s="1325"/>
      <c r="BC63" s="1325"/>
      <c r="BE63" s="790"/>
      <c r="BF63" s="790" t="str">
        <f>IF(T63="","",T63)</f>
        <v>Добавить наименование тарифа</v>
      </c>
      <c r="BG63" s="790"/>
      <c r="BH63" s="790"/>
      <c r="BI63" s="519">
        <v>0</v>
      </c>
    </row>
    <row customHeight="1" ht="11.549999999999999">
      <c r="M64" s="1161"/>
      <c r="N64" s="1161"/>
      <c r="O64" s="538"/>
      <c r="P64" s="1161"/>
      <c r="Q64" s="1161"/>
      <c r="R64" s="1156"/>
      <c r="S64" s="1156"/>
      <c r="BD64" s="1156"/>
      <c r="BE64" s="1156"/>
      <c r="BF64" s="1156"/>
      <c r="BG64" s="1156"/>
      <c r="BH64" s="1156"/>
      <c r="BI64" s="1156">
        <v>11</v>
      </c>
    </row>
    <row customHeight="1" ht="14.699999999999998">
      <c r="O65" s="538"/>
      <c r="S65" s="1254"/>
      <c r="T65" s="2286"/>
      <c r="U65" s="2286"/>
      <c r="V65" s="2286"/>
      <c r="W65" s="2286"/>
      <c r="X65" s="2286"/>
      <c r="Y65" s="2286"/>
      <c r="Z65" s="2286"/>
      <c r="AA65" s="2286"/>
      <c r="AB65" s="2286"/>
      <c r="AC65" s="2286"/>
      <c r="AD65" s="2286"/>
      <c r="AE65" s="2286"/>
      <c r="AF65" s="2286"/>
      <c r="AG65" s="2286"/>
      <c r="AH65" s="2286"/>
      <c r="AI65" s="2286"/>
      <c r="AJ65" s="2286"/>
      <c r="AK65" s="2286"/>
      <c r="AL65" s="2286"/>
      <c r="AM65" s="2286"/>
      <c r="AN65" s="2286"/>
      <c r="AO65" s="2286"/>
      <c r="AP65" s="2286"/>
      <c r="AQ65" s="2286"/>
      <c r="AR65" s="2286"/>
      <c r="AS65" s="2286"/>
      <c r="AT65" s="2286"/>
      <c r="AU65" s="2286"/>
      <c r="AV65" s="2286"/>
      <c r="AW65" s="2286"/>
      <c r="AX65" s="2286"/>
      <c r="AY65" s="2286"/>
      <c r="AZ65" s="2286"/>
      <c r="BA65" s="2286"/>
      <c r="BB65" s="2286"/>
      <c r="BC65" s="2286"/>
      <c r="BI65" s="1156">
        <v>14</v>
      </c>
    </row>
    <row customHeight="1" ht="14.699999999999998">
      <c r="O66" s="538"/>
      <c r="T66" s="1481"/>
      <c r="U66" s="1481"/>
      <c r="V66" s="1481"/>
      <c r="W66" s="1481"/>
      <c r="X66" s="1481"/>
      <c r="Y66" s="1481"/>
      <c r="Z66" s="1481"/>
      <c r="AA66" s="1481"/>
      <c r="AB66" s="1481"/>
      <c r="AC66" s="1481"/>
      <c r="AD66" s="1481"/>
      <c r="AE66" s="1481"/>
      <c r="AF66" s="1481"/>
      <c r="AG66" s="1481"/>
      <c r="AH66" s="1481"/>
      <c r="AI66" s="1481"/>
      <c r="AJ66" s="1481"/>
      <c r="AK66" s="1481"/>
      <c r="AL66" s="1481"/>
      <c r="AM66" s="1481"/>
      <c r="AN66" s="1481"/>
      <c r="AO66" s="1481"/>
      <c r="AP66" s="1481"/>
      <c r="AQ66" s="1481"/>
      <c r="AR66" s="1481"/>
      <c r="AS66" s="1481"/>
      <c r="AT66" s="1481"/>
      <c r="AU66" s="1481"/>
      <c r="AV66" s="1481"/>
      <c r="AW66" s="1481"/>
      <c r="AX66" s="1481"/>
      <c r="AY66" s="1481"/>
      <c r="AZ66" s="1481"/>
      <c r="BA66" s="1481"/>
      <c r="BB66" s="1481"/>
      <c r="BC66" s="1481"/>
      <c r="BI66" s="1156">
        <v>14</v>
      </c>
    </row>
    <row customHeight="1" ht="14.699999999999998">
      <c r="O67" s="538"/>
      <c r="S67" s="1254"/>
      <c r="T67" s="2286"/>
      <c r="U67" s="2286"/>
      <c r="V67" s="2286"/>
      <c r="W67" s="2286"/>
      <c r="X67" s="2286"/>
      <c r="Y67" s="2286"/>
      <c r="Z67" s="2286"/>
      <c r="AA67" s="2286"/>
      <c r="AB67" s="2286"/>
      <c r="AC67" s="2286"/>
      <c r="AD67" s="2286"/>
      <c r="AE67" s="2286"/>
      <c r="AF67" s="2286"/>
      <c r="AG67" s="2286"/>
      <c r="AH67" s="2286"/>
      <c r="AI67" s="2286"/>
      <c r="AJ67" s="2286"/>
      <c r="AK67" s="2286"/>
      <c r="AL67" s="2286"/>
      <c r="AM67" s="2286"/>
      <c r="AN67" s="2286"/>
      <c r="AO67" s="2286"/>
      <c r="AP67" s="2286"/>
      <c r="AQ67" s="2286"/>
      <c r="AR67" s="2286"/>
      <c r="AS67" s="2286"/>
      <c r="AT67" s="2286"/>
      <c r="AU67" s="2286"/>
      <c r="AV67" s="2286"/>
      <c r="AW67" s="2286"/>
      <c r="AX67" s="2286"/>
      <c r="AY67" s="2286"/>
      <c r="AZ67" s="2286"/>
      <c r="BA67" s="2286"/>
      <c r="BB67" s="2286"/>
      <c r="BC67" s="2286"/>
      <c r="BI67" s="1156">
        <v>14</v>
      </c>
    </row>
    <row customHeight="1" ht="14.699999999999998">
      <c r="O68" s="538"/>
      <c r="BI68" s="1156">
        <v>14</v>
      </c>
    </row>
    <row customHeight="1" ht="14.25" hidden="1">
      <c r="A69" s="1161" t="s">
        <v>83</v>
      </c>
      <c r="B69" s="1161">
        <v>0</v>
      </c>
      <c r="C69" s="1161">
        <v>0</v>
      </c>
      <c r="D69" s="1161">
        <v>0</v>
      </c>
      <c r="E69" s="1161">
        <v>0</v>
      </c>
      <c r="F69" s="1161">
        <v>0</v>
      </c>
      <c r="G69" s="1161">
        <v>0</v>
      </c>
      <c r="H69" s="1161">
        <v>0</v>
      </c>
      <c r="I69" s="1161">
        <v>0</v>
      </c>
      <c r="J69" s="1161">
        <v>0</v>
      </c>
      <c r="K69" s="1161">
        <v>0</v>
      </c>
      <c r="L69" s="1479">
        <v>0</v>
      </c>
      <c r="M69" s="1363">
        <v>0</v>
      </c>
      <c r="N69" s="1363">
        <v>0</v>
      </c>
      <c r="O69" s="1363">
        <v>0</v>
      </c>
      <c r="P69" s="1363">
        <v>0</v>
      </c>
      <c r="Q69" s="1372">
        <v>0</v>
      </c>
      <c r="R69" s="345">
        <v>3</v>
      </c>
      <c r="S69" s="582">
        <v>12</v>
      </c>
      <c r="T69" s="1156">
        <v>31</v>
      </c>
      <c r="U69" s="1156">
        <v>0</v>
      </c>
      <c r="V69" s="1156">
        <v>0</v>
      </c>
      <c r="W69" s="1156">
        <v>0</v>
      </c>
      <c r="X69" s="1156">
        <v>0</v>
      </c>
      <c r="Y69" s="1156">
        <v>0</v>
      </c>
      <c r="Z69" s="1156">
        <v>0</v>
      </c>
      <c r="AA69" s="1156">
        <v>0</v>
      </c>
      <c r="AB69" s="1156">
        <v>0</v>
      </c>
      <c r="AC69" s="1156">
        <v>0</v>
      </c>
      <c r="AD69" s="1156">
        <v>3</v>
      </c>
      <c r="AE69" s="1156">
        <v>3</v>
      </c>
      <c r="AF69" s="1156">
        <v>3</v>
      </c>
      <c r="AG69" s="1156">
        <v>24</v>
      </c>
      <c r="AH69" s="1156">
        <v>3</v>
      </c>
      <c r="AI69" s="1156">
        <v>3</v>
      </c>
      <c r="AJ69" s="1156">
        <v>3</v>
      </c>
      <c r="AK69" s="1156">
        <v>24</v>
      </c>
      <c r="AL69" s="1156">
        <v>3</v>
      </c>
      <c r="AM69" s="1156">
        <v>3</v>
      </c>
      <c r="AN69" s="1156">
        <v>3</v>
      </c>
      <c r="AO69" s="1156">
        <v>18</v>
      </c>
      <c r="AP69" s="1156">
        <v>3</v>
      </c>
      <c r="AQ69" s="1156">
        <v>3</v>
      </c>
      <c r="AR69" s="1156">
        <v>3</v>
      </c>
      <c r="AS69" s="1156">
        <v>18</v>
      </c>
      <c r="AT69" s="1156">
        <v>21</v>
      </c>
      <c r="AU69" s="1156">
        <v>21</v>
      </c>
      <c r="AV69" s="1156">
        <v>21</v>
      </c>
      <c r="AW69" s="1156">
        <v>21</v>
      </c>
      <c r="AX69" s="1156">
        <v>11</v>
      </c>
      <c r="AY69" s="1156">
        <v>3</v>
      </c>
      <c r="AZ69" s="1156">
        <v>11</v>
      </c>
      <c r="BA69" s="1156">
        <v>0</v>
      </c>
      <c r="BB69" s="1156">
        <v>4</v>
      </c>
      <c r="BC69" s="1156">
        <v>115</v>
      </c>
      <c r="BD69" s="512">
        <v>10</v>
      </c>
      <c r="BE69" s="512">
        <v>10</v>
      </c>
      <c r="BF69" s="512">
        <v>10</v>
      </c>
      <c r="BG69" s="512">
        <v>10</v>
      </c>
      <c r="BH69" s="512">
        <v>10</v>
      </c>
      <c r="BI69" s="1156">
        <v>23</v>
      </c>
    </row>
  </sheetData>
  <sheetProtection formatColumns="0" formatRows="0" autoFilter="0" sort="0" insertRows="0" insertColumns="1" deleteRows="0" deleteColumns="0"/>
  <mergeCells count="122">
    <mergeCell ref="T65:BC65"/>
    <mergeCell ref="T67:BC67"/>
    <mergeCell ref="AL52:AL54"/>
    <mergeCell ref="AM52:AM53"/>
    <mergeCell ref="AN52:AN53"/>
    <mergeCell ref="AO52:AO53"/>
    <mergeCell ref="AP52:AP53"/>
    <mergeCell ref="BC52:BC57"/>
    <mergeCell ref="AF52:AF55"/>
    <mergeCell ref="AG52:AG55"/>
    <mergeCell ref="AH52:AH55"/>
    <mergeCell ref="AI52:AI54"/>
    <mergeCell ref="AJ52:AJ54"/>
    <mergeCell ref="AK52:AK54"/>
    <mergeCell ref="I50:I58"/>
    <mergeCell ref="P50:P58"/>
    <mergeCell ref="V50:AC50"/>
    <mergeCell ref="AD50:BB50"/>
    <mergeCell ref="J51:J57"/>
    <mergeCell ref="Q51:Q57"/>
    <mergeCell ref="V51:AC51"/>
    <mergeCell ref="AD51:BB51"/>
    <mergeCell ref="K52:K56"/>
    <mergeCell ref="S52:S56"/>
    <mergeCell ref="T52:T56"/>
    <mergeCell ref="AD52:AD56"/>
    <mergeCell ref="AE52:AE55"/>
    <mergeCell ref="AA45:AB45"/>
    <mergeCell ref="AY45:AZ45"/>
    <mergeCell ref="E46:E62"/>
    <mergeCell ref="V46:AC46"/>
    <mergeCell ref="AD46:BB46"/>
    <mergeCell ref="F47:F61"/>
    <mergeCell ref="V47:AC47"/>
    <mergeCell ref="AL41:AO44"/>
    <mergeCell ref="AP41:AS44"/>
    <mergeCell ref="AT41:AZ41"/>
    <mergeCell ref="BA41:BA44"/>
    <mergeCell ref="BB41:BB44"/>
    <mergeCell ref="V42:W43"/>
    <mergeCell ref="X42:Y43"/>
    <mergeCell ref="Z42:AB43"/>
    <mergeCell ref="AT42:AU43"/>
    <mergeCell ref="AV42:AW43"/>
    <mergeCell ref="AD47:BB47"/>
    <mergeCell ref="G48:G60"/>
    <mergeCell ref="V48:AC48"/>
    <mergeCell ref="AD48:BB48"/>
    <mergeCell ref="H49:H59"/>
    <mergeCell ref="V49:AC49"/>
    <mergeCell ref="AD49:BB49"/>
    <mergeCell ref="V39:AC39"/>
    <mergeCell ref="AD39:BA39"/>
    <mergeCell ref="S40:BB40"/>
    <mergeCell ref="BC40:BC44"/>
    <mergeCell ref="S41:S44"/>
    <mergeCell ref="T41:T44"/>
    <mergeCell ref="V41:AB41"/>
    <mergeCell ref="AC41:AC44"/>
    <mergeCell ref="AD41:AG44"/>
    <mergeCell ref="AH41:AK44"/>
    <mergeCell ref="AX42:AZ43"/>
    <mergeCell ref="AA44:AB44"/>
    <mergeCell ref="AY44:AZ44"/>
    <mergeCell ref="S36:T36"/>
    <mergeCell ref="V36:AB36"/>
    <mergeCell ref="AD36:AZ36"/>
    <mergeCell ref="S37:T37"/>
    <mergeCell ref="V37:AB37"/>
    <mergeCell ref="AD37:AZ37"/>
    <mergeCell ref="S33:T33"/>
    <mergeCell ref="V33:AB33"/>
    <mergeCell ref="AD33:AZ33"/>
    <mergeCell ref="S34:T34"/>
    <mergeCell ref="V34:AB34"/>
    <mergeCell ref="AD34:AZ34"/>
    <mergeCell ref="S28:AZ28"/>
    <mergeCell ref="S29:AZ29"/>
    <mergeCell ref="S31:T31"/>
    <mergeCell ref="V31:AB31"/>
    <mergeCell ref="AD31:AZ31"/>
    <mergeCell ref="S32:T32"/>
    <mergeCell ref="V32:AB32"/>
    <mergeCell ref="AD32:AZ32"/>
    <mergeCell ref="AL8:AL10"/>
    <mergeCell ref="AM8:AM9"/>
    <mergeCell ref="AN8:AN9"/>
    <mergeCell ref="AO8:AO9"/>
    <mergeCell ref="AP8:AP9"/>
    <mergeCell ref="BC8:BC13"/>
    <mergeCell ref="AF8:AF11"/>
    <mergeCell ref="AG8:AG11"/>
    <mergeCell ref="AH8:AH11"/>
    <mergeCell ref="AI8:AI10"/>
    <mergeCell ref="AJ8:AJ10"/>
    <mergeCell ref="AK8:AK10"/>
    <mergeCell ref="K8:K12"/>
    <mergeCell ref="R8:R12"/>
    <mergeCell ref="S8:S12"/>
    <mergeCell ref="T8:T12"/>
    <mergeCell ref="AD8:AD12"/>
    <mergeCell ref="AE8:AE11"/>
    <mergeCell ref="E2:E18"/>
    <mergeCell ref="V2:AC2"/>
    <mergeCell ref="AD2:BB2"/>
    <mergeCell ref="F3:F17"/>
    <mergeCell ref="V3:AC3"/>
    <mergeCell ref="AD3:BB3"/>
    <mergeCell ref="G4:G16"/>
    <mergeCell ref="V4:AC4"/>
    <mergeCell ref="AD4:BB4"/>
    <mergeCell ref="H5:H15"/>
    <mergeCell ref="V5:AC5"/>
    <mergeCell ref="AD5:BB5"/>
    <mergeCell ref="I6:I14"/>
    <mergeCell ref="P6:P14"/>
    <mergeCell ref="V6:AC6"/>
    <mergeCell ref="AD6:BB6"/>
    <mergeCell ref="J7:J13"/>
    <mergeCell ref="Q7:Q13"/>
    <mergeCell ref="V7:AC7"/>
    <mergeCell ref="AD7:BB7"/>
  </mergeCells>
  <dataValidations count="9">
    <dataValidation allowBlank="1" sqref="S65591:BC65597 S983095:BC983101 S917559:BC917565 S852023:BC852029 S786487:BC786493 S720951:BC720957 S655415:BC655421 S589879:BC589885 S524343:BC524349 S458807:BC458813 S393271:BC393277 S327735:BC327741 S262199:BC262205 S196663:BC196669 S131127:BC131133"/>
    <dataValidation type="list" allowBlank="1" showInputMessage="1" errorTitle="Ошибка" error="Выберите значение из списка" prompt="Выберите значение из списка" sqref="V983092:BB983092 V917556:BB917556 V852020:BB852020 V786484:BB786484 V720948:BB720948 V655412:BB655412 V589876:BB589876 V524340:BB524340 V458804:BB458804 V393268:BB393268 V327732:BB327732 V262196:BB262196 V196660:BB196660 V131124:BB131124 V65588:BB65588">
      <formula1>kind_of_cons</formula1>
    </dataValidation>
    <dataValidation type="decimal" allowBlank="1" showErrorMessage="1" errorTitle="Ошибка" error="Допускается ввод только действительных чисел!" sqref="AO52:AO53 AG8:AG11 AO8:AO9 AG52:AG55">
      <formula1>-9.99999999999999E+23</formula1>
      <formula2>9.99999999999999E+23</formula2>
    </dataValidation>
    <dataValidation allowBlank="1" showInputMessage="1" showErrorMessage="1" prompt="Для выбора выполните двойной щелчок левой клавиши мыши по соответствующей ячейке." sqref="AA65589 AA131125 AA196661 AA262197 AA327733 AA393269 AA458805 AA524341 AA589877 AA655413 AA720949 AA786485 AA852021 AA917557 AA983093 AC131125 AC458805 AC196661 AC262197 AC327733 AC393269 AC524341 AC589877 AC655413 AC720949 AC786485 AC852021 AC917557 AC983093 AC65589 AH52:AH53 AY8 AP52 AK52:AL53 AA8 AY65589 AY131125 AY196661 AY262197 AY327733 AY393269 AY458805 AY524341 AY589877 AY655413 AY720949 AY786485 AY852021 AY917557 AY983093 BA458805 BA196661 BA262197 BA327733 BA393269 BA524341 BA589877 BA655413 BA720949 BA786485 BA852021 BA917557 BA983093 BA65589 BA52 AC8:AD8 BA20 BA8 AY52 AK8:AL9 AD20 AG20:AH20 AK20:AL20 AP20 AY20 AH8:AH9 AP8 BA131125 AC52:AD52 AA52"/>
    <dataValidation type="textLength" operator="lessThanOrEqual" allowBlank="1" showInputMessage="1" showErrorMessage="1" errorTitle="Ошибка" error="Допускается ввод не более 900 символов!" sqref="BC65583:BC65590 BC131119:BC131126 BC196655:BC196662 BC262191:BC262198 BC327727:BC327734 BC393263:BC393270 BC458799:BC458806 BC524335:BC524342 BC589871:BC589878 BC655407:BC655414 BC720943:BC720950 BC786479:BC786486 BC852015:BC852022 BC917551:BC917558 BC983087:BC983094 AS8 T8:T12 AS52 T52:T56">
      <formula1>900</formula1>
    </dataValidation>
    <dataValidation allowBlank="1" promptTitle="checkPeriodRange" sqref="W131126 W196662 W262198 W327734 W393270 W458806 W524342 W589878 W655414 W720950 W786486 W852022 W917558 W983094 AW56 AU12 BB12 AW65590 AW131126 AW196662 AW262198 AW327734 AW393270 AW458806 AW524342 AW589878 AW655414 AW720950 AW786486 AW852022 AW917558 AW983094 Y65590 Y56 W65590 Y131126 Y196662 Y262198 Y327734 Y393270 Y458806 Y524342 Y589878 Y655414 Y720950 Y786486 Y852022 Y917558 Y983094 AU56 Y12 BB56 W12 AW12 W56"/>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9 Z131125 Z196661 Z262197 Z327733 Z393269 Z458805 Z524341 Z589877 Z655413 Z720949 Z786485 Z852021 Z917557 Z983093 AB65589 AB131125 AB196661 AB262197 AB327733 AB393269 AB458805 AB524341 AB589877 AB655413 AB720949 AB786485 AB852021 AB917557 AB983093 Z8 AB8 AX65589 AX131125 AX196661 AX262197 AX327733 AX393269 AX458805 AX524341 AX589877 AX655413 AX720949 AX786485 AX852021 AX917557 AX983093 AZ65589 AZ131125 AZ196661 AZ262197 AZ327733 AZ393269 AZ458805 AZ524341 AZ589877 AZ655413 AZ720949 AZ786485 AZ852021 AZ917557 AZ983093 AX52 AX20 AZ8 AZ52 AX8 AZ20 Z52 AB52"/>
    <dataValidation type="list" allowBlank="1" showInputMessage="1" showErrorMessage="1" errorTitle="Ошибка" error="Выберите значение из списка" sqref="AD917555:AS917555 AD983091:AS983091 AD65587:AS65587 AD131123:AS131123 AD196659:AS196659 AD262195:AS262195 AD327731:AS327731 AD393267:AS393267 AD458803:AS458803 AD524339:AS524339 AD589875:AS589875 AD655411:AS655411 AD720947:AS720947 AD786483:AS786483 AD852019:AS852019">
      <formula1>kind_of_scheme_in</formula1>
    </dataValidation>
    <dataValidation type="list" allowBlank="1" showInputMessage="1" showErrorMessage="1" errorTitle="Ошибка" error="Выберите значение из списка" sqref="T65589 T131125 T196661 T262197 T327733 T393269 T458805 T524341 T589877 T655413 T720949 T786485 T852021 T917557 T983093">
      <formula1>kind_of_heat_transfer</formula1>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9B5115B9-D438-7E94-BC38-050F137F3199}" mc:Ignorable="x14ac xr xr2 xr3">
  <sheetPr>
    <tabColor rgb="FFCCCCFF"/>
    <pageSetUpPr fitToPage="1"/>
  </sheetPr>
  <dimension ref="A1:AC31"/>
  <sheetViews>
    <sheetView showGridLines="0" zoomScale="90" workbookViewId="0">
      <pane xSplit="6" ySplit="11" topLeftCell="G12" activePane="bottomRight" state="frozen"/>
      <selection pane="bottomLeft" activeCell="A12" sqref="A12"/>
      <selection pane="topRight" activeCell="G1" sqref="G1"/>
      <selection pane="bottomRight" activeCell="H29" sqref="H29"/>
    </sheetView>
  </sheetViews>
  <sheetFormatPr defaultColWidth="9.140625" customHeight="1" defaultRowHeight="14.25"/>
  <cols>
    <col min="1" max="1" style="1636" width="8.00390625" hidden="1" customWidth="1"/>
    <col min="2" max="2" style="1367" width="6.00390625" hidden="1" customWidth="1"/>
    <col min="3" max="3" style="1636" width="3.00390625" customWidth="1"/>
    <col min="4" max="4" style="1843" width="3.00390625" customWidth="1"/>
    <col min="5" max="5" style="1636" width="6.00390625" customWidth="1"/>
    <col min="6" max="6" style="1636" width="2.7109375" hidden="1" customWidth="1"/>
    <col min="7" max="7" style="1636" width="46.7109375" customWidth="1"/>
    <col min="8" max="8" style="1636" width="42.00390625" customWidth="1"/>
    <col min="9" max="9" style="1636" width="14.00390625" customWidth="1"/>
    <col min="10" max="10" style="1625" width="3.00390625" customWidth="1"/>
    <col min="11" max="13" style="1625" width="9.140625" hidden="1"/>
    <col min="14" max="14" style="1625" width="25.7109375" hidden="1" customWidth="1"/>
    <col min="15" max="15" style="1625" width="14.421875" hidden="1" customWidth="1"/>
    <col min="16" max="19" style="226" width="9.140625" hidden="1"/>
    <col min="20" max="27" style="1636" width="9.140625" hidden="1"/>
    <col min="28" max="28" style="1636" width="8.00390625" customWidth="1"/>
    <col min="29" max="29" style="1636" width="9.140625" hidden="1"/>
  </cols>
  <sheetData>
    <row s="1643" customFormat="1" customHeight="1" ht="5.25" hidden="1">
      <c r="A1" s="497"/>
      <c r="B1" s="512"/>
      <c r="C1" s="512"/>
      <c r="D1" s="222"/>
      <c r="F1" s="512"/>
      <c r="G1" s="248" t="s">
        <v>84</v>
      </c>
      <c r="H1" s="495" t="s">
        <v>85</v>
      </c>
      <c r="I1" s="228" t="s">
        <v>86</v>
      </c>
      <c r="J1" s="248" t="s">
        <v>84</v>
      </c>
      <c r="K1" s="248"/>
      <c r="L1" s="248"/>
      <c r="M1" s="248"/>
      <c r="N1" s="249"/>
      <c r="O1" s="248"/>
      <c r="P1" s="248"/>
      <c r="Q1" s="248"/>
      <c r="R1" s="248"/>
      <c r="S1" s="248"/>
      <c r="T1" s="228"/>
      <c r="U1" s="228"/>
      <c r="V1" s="228"/>
      <c r="W1" s="228"/>
      <c r="X1" s="228"/>
      <c r="Y1" s="228"/>
      <c r="Z1" s="228"/>
      <c r="AA1" s="228"/>
      <c r="AB1" s="228"/>
      <c r="AC1" s="153" t="s">
        <v>14</v>
      </c>
    </row>
    <row s="1413" customFormat="1" customHeight="1" ht="11.25">
      <c r="A2" s="832"/>
      <c r="B2" s="229"/>
      <c r="C2" s="229"/>
      <c r="D2" s="230"/>
      <c r="E2" s="229"/>
      <c r="F2" s="229"/>
      <c r="G2" s="229"/>
      <c r="H2" s="229"/>
      <c r="I2" s="229"/>
      <c r="J2" s="248"/>
      <c r="K2" s="248"/>
      <c r="L2" s="248"/>
      <c r="M2" s="248"/>
      <c r="N2" s="249"/>
      <c r="O2" s="248"/>
      <c r="P2" s="231"/>
      <c r="Q2" s="231"/>
      <c r="R2" s="231"/>
      <c r="S2" s="231"/>
      <c r="T2" s="230"/>
      <c r="U2" s="230"/>
      <c r="V2" s="230"/>
      <c r="W2" s="230"/>
      <c r="X2" s="230"/>
      <c r="Y2" s="230"/>
      <c r="Z2" s="230"/>
      <c r="AA2" s="230"/>
      <c r="AB2" s="230"/>
      <c r="AC2" s="232">
        <v>11</v>
      </c>
    </row>
    <row s="1820" customFormat="1" customHeight="1" ht="3">
      <c r="A3" s="759"/>
      <c r="B3" s="418"/>
      <c r="C3" s="759"/>
      <c r="D3" s="165"/>
      <c r="E3" s="104"/>
      <c r="F3" s="510"/>
      <c r="G3" s="104"/>
      <c r="H3" s="104"/>
      <c r="I3" s="167"/>
      <c r="J3" s="248"/>
      <c r="K3" s="156"/>
      <c r="L3" s="156"/>
      <c r="M3" s="156"/>
      <c r="N3" s="227"/>
      <c r="O3" s="156"/>
      <c r="P3" s="226"/>
      <c r="Q3" s="226"/>
      <c r="R3" s="226"/>
      <c r="S3" s="226"/>
      <c r="AC3" s="117">
        <v>3</v>
      </c>
    </row>
    <row s="1820" customFormat="1" customHeight="1" ht="27.299999999999997">
      <c r="A4" s="759"/>
      <c r="B4" s="418"/>
      <c r="C4" s="759"/>
      <c r="D4" s="165"/>
      <c r="E4" s="2101" t="str">
        <f>NameTemplatesInListMO</f>
        <v>Перечень муниципальных районов и муниципальных образований (территорий действия тарифа)</v>
      </c>
      <c r="F4" s="2101"/>
      <c r="G4" s="2101"/>
      <c r="H4" s="2101"/>
      <c r="I4" s="2101"/>
      <c r="J4" s="248"/>
      <c r="K4" s="156"/>
      <c r="L4" s="156"/>
      <c r="M4" s="156"/>
      <c r="N4" s="227"/>
      <c r="O4" s="156"/>
      <c r="P4" s="226"/>
      <c r="Q4" s="226"/>
      <c r="R4" s="226"/>
      <c r="S4" s="226"/>
      <c r="AC4" s="117">
        <v>26</v>
      </c>
    </row>
    <row s="1820" customFormat="1" customHeight="1" ht="3">
      <c r="A5" s="759"/>
      <c r="B5" s="418"/>
      <c r="C5" s="759"/>
      <c r="D5" s="165"/>
      <c r="E5" s="104"/>
      <c r="F5" s="510"/>
      <c r="G5" s="168"/>
      <c r="H5" s="168"/>
      <c r="I5" s="169"/>
      <c r="J5" s="156"/>
      <c r="K5" s="156"/>
      <c r="L5" s="156"/>
      <c r="M5" s="156"/>
      <c r="N5" s="227"/>
      <c r="O5" s="156"/>
      <c r="P5" s="226"/>
      <c r="Q5" s="226"/>
      <c r="R5" s="226"/>
      <c r="S5" s="226"/>
      <c r="AC5" s="117">
        <v>3</v>
      </c>
    </row>
    <row s="1820" customFormat="1" customHeight="1" ht="20.25" hidden="1">
      <c r="A6" s="838"/>
      <c r="B6" s="834"/>
      <c r="C6" s="170"/>
      <c r="D6" s="165"/>
      <c r="E6" s="780"/>
      <c r="F6" s="780"/>
      <c r="G6" s="168"/>
      <c r="H6" s="171"/>
      <c r="I6" s="171"/>
      <c r="J6" s="156"/>
      <c r="K6" s="156"/>
      <c r="L6" s="156"/>
      <c r="M6" s="156"/>
      <c r="N6" s="227"/>
      <c r="O6" s="156"/>
      <c r="P6" s="226"/>
      <c r="Q6" s="226"/>
      <c r="R6" s="226"/>
      <c r="S6" s="226"/>
      <c r="AC6" s="117">
        <v>0</v>
      </c>
    </row>
    <row customHeight="1" ht="25.5" hidden="1">
      <c r="AC7" s="84">
        <v>0</v>
      </c>
    </row>
    <row s="1820" customFormat="1" customHeight="1" ht="14.699999999999998">
      <c r="A8" s="759"/>
      <c r="B8" s="418"/>
      <c r="C8" s="759"/>
      <c r="D8" s="165"/>
      <c r="E8" s="2102" t="s">
        <v>87</v>
      </c>
      <c r="F8" s="2103"/>
      <c r="G8" s="2104"/>
      <c r="H8" s="2105" t="s">
        <v>88</v>
      </c>
      <c r="I8" s="2105"/>
      <c r="J8" s="156"/>
      <c r="K8" s="156"/>
      <c r="L8" s="156"/>
      <c r="M8" s="156"/>
      <c r="N8" s="227"/>
      <c r="O8" s="156"/>
      <c r="P8" s="226"/>
      <c r="Q8" s="226"/>
      <c r="R8" s="226"/>
      <c r="S8" s="226"/>
      <c r="AC8" s="117">
        <v>14</v>
      </c>
    </row>
    <row s="1820" customFormat="1" customHeight="1" ht="21">
      <c r="A9" s="759"/>
      <c r="B9" s="418"/>
      <c r="C9" s="759"/>
      <c r="D9" s="165"/>
      <c r="E9" s="778" t="s">
        <v>89</v>
      </c>
      <c r="F9" s="778"/>
      <c r="G9" s="173" t="s">
        <v>90</v>
      </c>
      <c r="H9" s="173" t="s">
        <v>90</v>
      </c>
      <c r="I9" s="173" t="s">
        <v>86</v>
      </c>
      <c r="J9" s="156"/>
      <c r="K9" s="156"/>
      <c r="L9" s="156"/>
      <c r="M9" s="156"/>
      <c r="N9" s="227"/>
      <c r="O9" s="156"/>
      <c r="P9" s="226"/>
      <c r="Q9" s="226"/>
      <c r="R9" s="226"/>
      <c r="S9" s="226"/>
      <c r="AC9" s="117">
        <v>20</v>
      </c>
    </row>
    <row customHeight="1" ht="11.549999999999999">
      <c r="D10" s="177"/>
      <c r="E10" s="779" t="s">
        <v>91</v>
      </c>
      <c r="F10" s="779"/>
      <c r="G10" s="224" t="s">
        <v>92</v>
      </c>
      <c r="H10" s="224" t="s">
        <v>93</v>
      </c>
      <c r="I10" s="224" t="s">
        <v>94</v>
      </c>
      <c r="J10" s="187"/>
      <c r="K10" s="187"/>
      <c r="L10" s="187"/>
      <c r="M10" s="187"/>
      <c r="N10" s="172"/>
      <c r="O10" s="187"/>
      <c r="P10" s="225"/>
      <c r="Q10" s="225"/>
      <c r="R10" s="225"/>
      <c r="S10" s="225"/>
      <c r="AC10" s="84">
        <v>11</v>
      </c>
    </row>
    <row s="1820" customFormat="1" customHeight="1" ht="1.05">
      <c r="A11" s="759"/>
      <c r="B11" s="418"/>
      <c r="C11" s="759"/>
      <c r="D11" s="165"/>
      <c r="E11" s="791"/>
      <c r="F11" s="791"/>
      <c r="G11" s="174"/>
      <c r="H11" s="174"/>
      <c r="I11" s="176"/>
      <c r="J11" s="250" t="s">
        <v>95</v>
      </c>
      <c r="K11" s="156"/>
      <c r="L11" s="156"/>
      <c r="M11" s="156" t="s">
        <v>96</v>
      </c>
      <c r="N11" s="227" t="s">
        <v>97</v>
      </c>
      <c r="O11" s="156" t="s">
        <v>98</v>
      </c>
      <c r="P11" s="226"/>
      <c r="Q11" s="226"/>
      <c r="R11" s="226"/>
      <c r="S11" s="226"/>
      <c r="AC11" s="117">
        <v>1</v>
      </c>
    </row>
    <row s="1820" customFormat="1" customHeight="1" ht="15">
      <c r="A12" s="2100">
        <v>1</v>
      </c>
      <c r="B12" s="418"/>
      <c r="C12" s="759"/>
      <c r="D12" s="783"/>
      <c r="E12" s="220">
        <f>A12</f>
        <v>1</v>
      </c>
      <c r="F12" s="803" t="s">
        <v>99</v>
      </c>
      <c r="G12" s="541" t="str">
        <f>"Территория "&amp;E12</f>
        <v>Территория 1</v>
      </c>
      <c r="H12" s="793"/>
      <c r="I12" s="793"/>
      <c r="J12" s="790"/>
      <c r="K12" s="501"/>
      <c r="L12" s="501"/>
      <c r="M12" s="501"/>
      <c r="N12" s="227"/>
      <c r="O12" s="501"/>
      <c r="P12" s="226"/>
      <c r="Q12" s="226"/>
      <c r="R12" s="226"/>
      <c r="S12" s="226"/>
      <c r="AC12" s="508">
        <v>14</v>
      </c>
    </row>
    <row s="1851" customFormat="1" customHeight="1" ht="15.75">
      <c r="A13" s="2100"/>
      <c r="B13" s="418">
        <v>1</v>
      </c>
      <c r="C13" s="418"/>
      <c r="D13" s="801"/>
      <c r="E13" s="781" t="str">
        <f>A12&amp;"."&amp;B13</f>
        <v>1.1</v>
      </c>
      <c r="F13" s="796" t="s">
        <v>100</v>
      </c>
      <c r="G13" s="794" t="s">
        <v>101</v>
      </c>
      <c r="H13" s="794" t="s">
        <v>101</v>
      </c>
      <c r="I13" s="792" t="s">
        <v>102</v>
      </c>
      <c r="J13" s="501">
        <f>MERGEVALUE(G13)</f>
      </c>
      <c r="K13" s="512"/>
      <c r="L13" s="512"/>
      <c r="M13" s="501" t="str">
        <f t="array" ref="M13:M13">IF(ISERROR(MATCH(MID(N13,1,250),MID(note_ter,1,250),0)),"n","y")</f>
        <v>n</v>
      </c>
      <c r="N13" s="512"/>
      <c r="O13" s="501" t="str">
        <f>H13&amp;"("&amp;I13&amp;")"</f>
        <v>город Курган(37701000)</v>
      </c>
      <c r="P13" s="418"/>
      <c r="Q13" s="418"/>
      <c r="R13" s="421"/>
      <c r="S13" s="418"/>
      <c r="T13" s="418"/>
      <c r="U13" s="418"/>
      <c r="V13" s="423"/>
      <c r="W13" s="423"/>
      <c r="X13" s="420"/>
      <c r="Y13" s="420"/>
      <c r="Z13" s="420"/>
      <c r="AA13" s="420"/>
      <c r="AB13" s="420"/>
      <c r="AC13" s="424">
        <v>15</v>
      </c>
    </row>
    <row customHeight="1" ht="15">
      <c r="A14" s="1883"/>
      <c r="B14" s="1367" t="s">
        <v>103</v>
      </c>
      <c r="C14" s="1367"/>
      <c r="D14" s="801" t="s">
        <v>104</v>
      </c>
      <c r="E14" s="1879" t="str">
        <f>A12&amp;"."&amp;B14</f>
        <v>1.2</v>
      </c>
      <c r="F14" s="1884" t="s">
        <v>105</v>
      </c>
      <c r="G14" s="1888" t="s">
        <v>106</v>
      </c>
      <c r="H14" s="1888" t="s">
        <v>106</v>
      </c>
      <c r="I14" s="1886" t="s">
        <v>107</v>
      </c>
      <c r="J14" s="1625"/>
      <c r="K14" s="1637"/>
      <c r="L14" s="1637"/>
      <c r="M14" s="1625" t="str">
        <f t="array" ref="M14:M14">IF(ISERROR(MATCH(MID(N14,1,250),MID(note_ter,1,250),0)),"n","y")</f>
        <v>n</v>
      </c>
      <c r="N14" s="1637"/>
      <c r="O14" s="1625" t="str">
        <f>H14&amp;"("&amp;I14&amp;")"</f>
        <v>город Шадринск(37705000)</v>
      </c>
      <c r="P14" s="1367"/>
      <c r="Q14" s="1367"/>
      <c r="R14" s="421"/>
      <c r="S14" s="1367"/>
      <c r="T14" s="1367"/>
      <c r="U14" s="1367"/>
      <c r="V14" s="834"/>
      <c r="W14" s="834"/>
      <c r="X14" s="628"/>
      <c r="Y14" s="628"/>
      <c r="Z14" s="628"/>
      <c r="AA14" s="628"/>
      <c r="AB14" s="628"/>
      <c r="AC14" s="628"/>
    </row>
    <row customHeight="1" ht="15">
      <c r="A15" s="1883"/>
      <c r="B15" s="1367" t="s">
        <v>91</v>
      </c>
      <c r="C15" s="1367"/>
      <c r="D15" s="801" t="s">
        <v>104</v>
      </c>
      <c r="E15" s="1879" t="str">
        <f>A12&amp;"."&amp;B15</f>
        <v>1.3</v>
      </c>
      <c r="F15" s="1884" t="s">
        <v>108</v>
      </c>
      <c r="G15" s="1888" t="s">
        <v>109</v>
      </c>
      <c r="H15" s="1888" t="s">
        <v>109</v>
      </c>
      <c r="I15" s="1886" t="s">
        <v>110</v>
      </c>
      <c r="J15" s="1625"/>
      <c r="K15" s="1637"/>
      <c r="L15" s="1637"/>
      <c r="M15" s="1625" t="str">
        <f t="array" ref="M15:M15">IF(ISERROR(MATCH(MID(N15,1,250),MID(note_ter,1,250),0)),"n","y")</f>
        <v>n</v>
      </c>
      <c r="N15" s="1637"/>
      <c r="O15" s="1625" t="str">
        <f>H15&amp;"("&amp;I15&amp;")"</f>
        <v>Шадринский муниципальный округ(37538000)</v>
      </c>
      <c r="P15" s="1367"/>
      <c r="Q15" s="1367"/>
      <c r="R15" s="421"/>
      <c r="S15" s="1367"/>
      <c r="T15" s="1367"/>
      <c r="U15" s="1367"/>
      <c r="V15" s="834"/>
      <c r="W15" s="834"/>
      <c r="X15" s="628"/>
      <c r="Y15" s="628"/>
      <c r="Z15" s="628"/>
      <c r="AA15" s="628"/>
      <c r="AB15" s="628"/>
      <c r="AC15" s="628"/>
    </row>
    <row s="1851" customFormat="1" customHeight="1" ht="15.75">
      <c r="A16" s="2100"/>
      <c r="B16" s="418"/>
      <c r="C16" s="413"/>
      <c r="D16" s="802"/>
      <c r="E16" s="422"/>
      <c r="F16" s="178"/>
      <c r="G16" s="416" t="s">
        <v>111</v>
      </c>
      <c r="H16" s="188"/>
      <c r="I16" s="425"/>
      <c r="J16" s="512"/>
      <c r="K16" s="512"/>
      <c r="L16" s="512"/>
      <c r="M16" s="512"/>
      <c r="N16" s="501"/>
      <c r="O16" s="512"/>
      <c r="P16" s="418"/>
      <c r="Q16" s="418"/>
      <c r="R16" s="421"/>
      <c r="S16" s="418"/>
      <c r="T16" s="418"/>
      <c r="U16" s="418"/>
      <c r="V16" s="423"/>
      <c r="W16" s="423"/>
      <c r="X16" s="420"/>
      <c r="Y16" s="420"/>
      <c r="Z16" s="420"/>
      <c r="AA16" s="420"/>
      <c r="AB16" s="420"/>
      <c r="AC16" s="424">
        <v>15</v>
      </c>
    </row>
    <row s="1820" customFormat="1" customHeight="1" ht="14.699999999999998">
      <c r="A17" s="759"/>
      <c r="B17" s="418"/>
      <c r="C17" s="759"/>
      <c r="D17" s="783"/>
      <c r="E17" s="795"/>
      <c r="F17" s="179"/>
      <c r="G17" s="417" t="s">
        <v>112</v>
      </c>
      <c r="H17" s="179"/>
      <c r="I17" s="180"/>
      <c r="J17" s="250"/>
      <c r="K17" s="156"/>
      <c r="L17" s="156"/>
      <c r="M17" s="156"/>
      <c r="N17" s="227" t="s">
        <v>113</v>
      </c>
      <c r="O17" s="156"/>
      <c r="P17" s="226"/>
      <c r="Q17" s="226"/>
      <c r="R17" s="226"/>
      <c r="S17" s="226"/>
      <c r="AC17" s="117">
        <v>14</v>
      </c>
    </row>
    <row s="1820" customFormat="1" customHeight="1" ht="22.049999999999997">
      <c r="A18" s="759"/>
      <c r="B18" s="418"/>
      <c r="C18" s="759"/>
      <c r="D18" s="166"/>
      <c r="E18" s="181"/>
      <c r="F18" s="181"/>
      <c r="G18" s="181"/>
      <c r="H18" s="181"/>
      <c r="I18" s="181"/>
      <c r="J18" s="156"/>
      <c r="K18" s="156"/>
      <c r="L18" s="156"/>
      <c r="M18" s="156"/>
      <c r="N18" s="227"/>
      <c r="O18" s="156"/>
      <c r="P18" s="226"/>
      <c r="Q18" s="226"/>
      <c r="R18" s="226"/>
      <c r="S18" s="226"/>
      <c r="AC18" s="117">
        <v>21</v>
      </c>
    </row>
    <row s="1820" customFormat="1" customHeight="1" ht="14.699999999999998">
      <c r="A19" s="759"/>
      <c r="B19" s="418"/>
      <c r="C19" s="759"/>
      <c r="D19" s="166"/>
      <c r="E19" s="84"/>
      <c r="F19" s="759"/>
      <c r="G19" s="84"/>
      <c r="H19" s="84"/>
      <c r="I19" s="84"/>
      <c r="J19" s="156"/>
      <c r="K19" s="156"/>
      <c r="L19" s="156"/>
      <c r="M19" s="156"/>
      <c r="N19" s="227"/>
      <c r="O19" s="156"/>
      <c r="P19" s="226"/>
      <c r="Q19" s="226"/>
      <c r="R19" s="226"/>
      <c r="S19" s="226"/>
      <c r="AC19" s="117">
        <v>14</v>
      </c>
    </row>
    <row s="1820" customFormat="1" customHeight="1" ht="1.05">
      <c r="A20" s="759"/>
      <c r="B20" s="418"/>
      <c r="C20" s="759"/>
      <c r="D20" s="166"/>
      <c r="E20" s="84"/>
      <c r="F20" s="759"/>
      <c r="G20" s="84"/>
      <c r="H20" s="84"/>
      <c r="I20" s="84"/>
      <c r="J20" s="156"/>
      <c r="K20" s="156"/>
      <c r="L20" s="156"/>
      <c r="M20" s="156"/>
      <c r="N20" s="227"/>
      <c r="O20" s="156"/>
      <c r="P20" s="226"/>
      <c r="Q20" s="226"/>
      <c r="R20" s="226"/>
      <c r="S20" s="226"/>
      <c r="AC20" s="117">
        <v>1</v>
      </c>
    </row>
    <row s="1065" customFormat="1" customHeight="1" ht="10.5">
      <c r="B21" s="835"/>
      <c r="D21" s="183"/>
      <c r="J21" s="156"/>
      <c r="K21" s="156"/>
      <c r="L21" s="156"/>
      <c r="M21" s="156"/>
      <c r="N21" s="227"/>
      <c r="O21" s="156"/>
      <c r="P21" s="226"/>
      <c r="Q21" s="226"/>
      <c r="R21" s="226"/>
      <c r="S21" s="226"/>
      <c r="AC21" s="182">
        <v>10</v>
      </c>
    </row>
    <row s="1065" customFormat="1" customHeight="1" ht="10.5">
      <c r="B22" s="835"/>
      <c r="D22" s="183"/>
      <c r="J22" s="156"/>
      <c r="K22" s="156"/>
      <c r="L22" s="156"/>
      <c r="M22" s="156"/>
      <c r="N22" s="227"/>
      <c r="O22" s="156"/>
      <c r="P22" s="226"/>
      <c r="Q22" s="226"/>
      <c r="R22" s="226"/>
      <c r="S22" s="226"/>
      <c r="AC22" s="182">
        <v>10</v>
      </c>
    </row>
    <row customHeight="1" ht="14.699999999999998">
      <c r="AC23" s="84">
        <v>14</v>
      </c>
    </row>
    <row customHeight="1" ht="14.699999999999998">
      <c r="AC24" s="84">
        <v>14</v>
      </c>
    </row>
    <row customHeight="1" ht="14.699999999999998">
      <c r="AC25" s="84">
        <v>14</v>
      </c>
    </row>
    <row customHeight="1" ht="14.699999999999998">
      <c r="H26" s="65"/>
      <c r="AC26" s="84">
        <v>14</v>
      </c>
    </row>
    <row customHeight="1" ht="14.699999999999998">
      <c r="AC27" s="84">
        <v>14</v>
      </c>
    </row>
    <row customHeight="1" ht="14.699999999999998">
      <c r="AC28" s="84">
        <v>14</v>
      </c>
    </row>
    <row customHeight="1" ht="14.699999999999998">
      <c r="AC29" s="84">
        <v>14</v>
      </c>
    </row>
    <row customHeight="1" ht="14.699999999999998">
      <c r="J30" s="84"/>
      <c r="K30" s="84"/>
      <c r="L30" s="84"/>
      <c r="AC30" s="84">
        <v>14</v>
      </c>
    </row>
    <row customHeight="1" ht="22.5" hidden="1">
      <c r="A31" s="759" t="s">
        <v>83</v>
      </c>
      <c r="B31" s="418">
        <v>0</v>
      </c>
      <c r="C31" s="759">
        <v>3</v>
      </c>
      <c r="D31" s="166">
        <v>3</v>
      </c>
      <c r="E31" s="84">
        <v>6</v>
      </c>
      <c r="F31" s="759">
        <v>0</v>
      </c>
      <c r="G31" s="84">
        <v>46</v>
      </c>
      <c r="H31" s="84">
        <v>42</v>
      </c>
      <c r="I31" s="84">
        <v>14</v>
      </c>
      <c r="J31" s="156">
        <v>3</v>
      </c>
      <c r="K31" s="156">
        <v>0</v>
      </c>
      <c r="L31" s="156">
        <v>0</v>
      </c>
      <c r="M31" s="156">
        <v>0</v>
      </c>
      <c r="N31" s="227">
        <v>0</v>
      </c>
      <c r="O31" s="156">
        <v>0</v>
      </c>
      <c r="P31" s="226">
        <v>0</v>
      </c>
      <c r="Q31" s="226">
        <v>0</v>
      </c>
      <c r="R31" s="226">
        <v>0</v>
      </c>
      <c r="S31" s="226">
        <v>0</v>
      </c>
      <c r="T31" s="84">
        <v>0</v>
      </c>
      <c r="U31" s="84">
        <v>0</v>
      </c>
      <c r="V31" s="84">
        <v>0</v>
      </c>
      <c r="W31" s="84">
        <v>0</v>
      </c>
      <c r="X31" s="84">
        <v>0</v>
      </c>
      <c r="Y31" s="84">
        <v>0</v>
      </c>
      <c r="Z31" s="84">
        <v>0</v>
      </c>
      <c r="AA31" s="84">
        <v>0</v>
      </c>
      <c r="AB31" s="84">
        <v>8</v>
      </c>
      <c r="AC31" s="84">
        <v>23</v>
      </c>
    </row>
  </sheetData>
  <sheetProtection formatColumns="0" formatRows="0" autoFilter="0" sort="0" insertRows="0" insertColumns="1" deleteRows="0" deleteColumns="0"/>
  <mergeCells count="4">
    <mergeCell ref="A12:A16"/>
    <mergeCell ref="E4:I4"/>
    <mergeCell ref="E8:G8"/>
    <mergeCell ref="H8:I8"/>
  </mergeCells>
  <dataValidations count="1">
    <dataValidation type="textLength" operator="lessThanOrEqual" allowBlank="1" showInputMessage="1" showErrorMessage="1" errorTitle="Ошибка" error="Допускается ввод не более 900 символов!" sqref="G12">
      <formula1>900</formula1>
    </dataValidation>
  </dataValidations>
  <printOptions horizontalCentered="1" verticalCentered="1"/>
  <pageMargins left="0.00" right="0.00" top="0.00" bottom="0.00" header="0.00" footer="0.79"/>
  <pageSetup paperSize="9" scale="93" fitToHeight="0" pageOrder="downThenOver" orientation="portrait" blackAndWhite="1"/>
  <headerFooter>
    <oddHeader>&amp;L&amp;C&amp;R</oddHeader>
    <oddFooter>&amp;L&amp;C&amp;R</oddFooter>
    <evenHeader>&amp;L&amp;C&amp;R</evenHeader>
    <evenFooter>&amp;L&amp;C&amp;R</evenFooter>
  </headerFooter>
  <drawing r:id="rId1"/>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589E85FE-5F18-7948-D0B1-A24B73B01F55}" mc:Ignorable="x14ac xr xr2 xr3">
  <sheetPr>
    <tabColor theme="6" tint="0.4"/>
  </sheetPr>
  <dimension ref="A1:AY59"/>
  <sheetViews>
    <sheetView showGridLines="0" zoomScale="90" workbookViewId="0">
      <pane xSplit="32" ySplit="41" topLeftCell="AG42" activePane="bottomRight" state="frozen"/>
      <selection pane="bottomLeft" activeCell="A42" sqref="A42"/>
      <selection pane="topRight" activeCell="AG1" sqref="AG1"/>
      <selection pane="bottomRight" activeCell="A1" sqref="A1"/>
    </sheetView>
  </sheetViews>
  <sheetFormatPr defaultColWidth="10.57421875" customHeight="1" defaultRowHeight="14.25"/>
  <cols>
    <col min="1" max="1" style="1367" width="10.57421875" hidden="1"/>
    <col min="2" max="2" style="1367" width="11.00390625" hidden="1" customWidth="1"/>
    <col min="3" max="3" style="1367" width="10.57421875" hidden="1"/>
    <col min="4" max="4" style="1367" width="11.8515625" hidden="1" customWidth="1"/>
    <col min="5" max="5" style="1367" width="10.00390625" hidden="1" customWidth="1"/>
    <col min="6" max="6" style="1367" width="8.7109375" hidden="1" customWidth="1"/>
    <col min="7" max="7" style="1367" width="7.57421875" hidden="1" customWidth="1"/>
    <col min="8" max="8" style="1367" width="11.421875" hidden="1" customWidth="1"/>
    <col min="9" max="9" style="1367" width="14.140625" hidden="1" customWidth="1"/>
    <col min="10" max="10" style="1367" width="9.8515625" hidden="1" customWidth="1"/>
    <col min="11" max="11" style="1367" width="14.7109375" hidden="1" customWidth="1"/>
    <col min="12" max="12" style="2608" width="19.140625" hidden="1" customWidth="1"/>
    <col min="13" max="14" style="1777" width="12.28125" hidden="1" customWidth="1"/>
    <col min="15" max="15" style="1777" width="23.421875" hidden="1" customWidth="1"/>
    <col min="16" max="16" style="2398" width="3.00390625" customWidth="1"/>
    <col min="17" max="18" style="345" width="3.00390625" customWidth="1"/>
    <col min="19" max="19" style="2408" width="12.00390625" customWidth="1"/>
    <col min="20" max="20" style="1636" width="35.00390625" customWidth="1"/>
    <col min="21" max="21" style="1636" width="0.140625" customWidth="1"/>
    <col min="22" max="28" style="1636" width="19.7109375" hidden="1" customWidth="1"/>
    <col min="29" max="29" style="1636" width="11.7109375" hidden="1" customWidth="1"/>
    <col min="30" max="30" style="1636" width="3.7109375" hidden="1" customWidth="1"/>
    <col min="31" max="31" style="1636" width="11.7109375" hidden="1" customWidth="1"/>
    <col min="32" max="32" style="1636" width="8.57421875" hidden="1" customWidth="1"/>
    <col min="33" max="33" style="1636" width="19.7109375" customWidth="1"/>
    <col min="34" max="39" style="1636" width="19.00390625" customWidth="1"/>
    <col min="40" max="40" style="1636" width="11.00390625" customWidth="1"/>
    <col min="41" max="41" style="1636" width="3.7109375" customWidth="1"/>
    <col min="42" max="42" style="1636" width="11.00390625" customWidth="1"/>
    <col min="43" max="43" style="1636" width="8.57421875" hidden="1" customWidth="1"/>
    <col min="44" max="44" style="1636" width="4.00390625" customWidth="1"/>
    <col min="45" max="45" style="1636" width="115.00390625" customWidth="1"/>
    <col min="46" max="50" style="1643" width="10.00390625" customWidth="1"/>
    <col min="51" max="51" style="1636" width="10.57421875" hidden="1"/>
  </cols>
  <sheetData>
    <row customHeight="1" ht="22.5" hidden="1">
      <c r="AC1" s="328"/>
      <c r="AN1" s="328"/>
      <c r="AY1" s="1156" t="s">
        <v>14</v>
      </c>
    </row>
    <row customHeight="1" ht="23.25" hidden="1">
      <c r="A2" s="1364"/>
      <c r="B2" s="1364"/>
      <c r="C2" s="1364"/>
      <c r="D2" s="1364"/>
      <c r="E2" s="2259">
        <v>1</v>
      </c>
      <c r="F2" s="1364"/>
      <c r="G2" s="1364"/>
      <c r="H2" s="1364"/>
      <c r="I2" s="1364"/>
      <c r="J2" s="1364"/>
      <c r="K2" s="1364"/>
      <c r="L2" s="1365"/>
      <c r="M2" s="1366"/>
      <c r="N2" s="1366"/>
      <c r="O2" s="1366"/>
      <c r="P2" s="362"/>
      <c r="Q2" s="361"/>
      <c r="R2" s="356"/>
      <c r="S2" s="1494">
        <f>INDEX(PT_DIFFERENTIATION_NUM_NTAR,MATCH(A2,PT_DIFFERENTIATION_NTAR_ID,0))</f>
      </c>
      <c r="T2" s="299" t="s">
        <v>131</v>
      </c>
      <c r="U2" s="301"/>
      <c r="V2" s="2243"/>
      <c r="W2" s="2244"/>
      <c r="X2" s="2244"/>
      <c r="Y2" s="2244"/>
      <c r="Z2" s="2244"/>
      <c r="AA2" s="2244"/>
      <c r="AB2" s="2244"/>
      <c r="AC2" s="2244"/>
      <c r="AD2" s="2244"/>
      <c r="AE2" s="2244"/>
      <c r="AF2" s="2245"/>
      <c r="AG2" s="2243">
        <f>INDEX(PT_DIFFERENTIATION_NTAR,MATCH(A2,PT_DIFFERENTIATION_NTAR_ID,0))</f>
      </c>
      <c r="AH2" s="2244"/>
      <c r="AI2" s="2244"/>
      <c r="AJ2" s="2244"/>
      <c r="AK2" s="2244"/>
      <c r="AL2" s="2244"/>
      <c r="AM2" s="2244"/>
      <c r="AN2" s="2244"/>
      <c r="AO2" s="2244"/>
      <c r="AP2" s="2244"/>
      <c r="AQ2" s="2244"/>
      <c r="AR2" s="2245"/>
      <c r="AS2" s="1259"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U2" s="501"/>
      <c r="AV2" s="501" t="str">
        <f>IF(T2="","",T2)</f>
        <v>Наименование тарифа</v>
      </c>
      <c r="AW2" s="501"/>
      <c r="AX2" s="501"/>
      <c r="AY2" s="1156">
        <v>0</v>
      </c>
    </row>
    <row customHeight="1" ht="23.25" hidden="1">
      <c r="A3" s="1364"/>
      <c r="B3" s="1364"/>
      <c r="C3" s="1364"/>
      <c r="D3" s="1364"/>
      <c r="E3" s="2260"/>
      <c r="F3" s="2259">
        <v>1</v>
      </c>
      <c r="G3" s="1364"/>
      <c r="H3" s="1364"/>
      <c r="I3" s="1364"/>
      <c r="J3" s="1364"/>
      <c r="K3" s="1364"/>
      <c r="L3" s="1365"/>
      <c r="M3" s="1366"/>
      <c r="N3" s="1366"/>
      <c r="O3" s="1366"/>
      <c r="P3" s="1488"/>
      <c r="Q3" s="353"/>
      <c r="R3" s="354"/>
      <c r="S3" s="1494">
        <f>INDEX(PT_DIFFERENTIATION_NUM_TER,MATCH(B3,PT_DIFFERENTIATION_TER_ID,0))</f>
      </c>
      <c r="T3" s="309" t="s">
        <v>414</v>
      </c>
      <c r="U3" s="301"/>
      <c r="V3" s="2243"/>
      <c r="W3" s="2244"/>
      <c r="X3" s="2244"/>
      <c r="Y3" s="2244"/>
      <c r="Z3" s="2244"/>
      <c r="AA3" s="2244"/>
      <c r="AB3" s="2244"/>
      <c r="AC3" s="2244"/>
      <c r="AD3" s="2244"/>
      <c r="AE3" s="2244"/>
      <c r="AF3" s="2245"/>
      <c r="AG3" s="2243">
        <f>INDEX(PT_DIFFERENTIATION_TER,MATCH(B3,PT_DIFFERENTIATION_TER_ID,0))</f>
      </c>
      <c r="AH3" s="2244"/>
      <c r="AI3" s="2244"/>
      <c r="AJ3" s="2244"/>
      <c r="AK3" s="2244"/>
      <c r="AL3" s="2244"/>
      <c r="AM3" s="2244"/>
      <c r="AN3" s="2244"/>
      <c r="AO3" s="2244"/>
      <c r="AP3" s="2244"/>
      <c r="AQ3" s="2244"/>
      <c r="AR3" s="2245"/>
      <c r="AS3" s="1259" t="s">
        <v>415</v>
      </c>
      <c r="AU3" s="501"/>
      <c r="AV3" s="501" t="str">
        <f>IF(T3="","",T3)</f>
        <v>Территория действия тарифа</v>
      </c>
      <c r="AW3" s="501"/>
      <c r="AX3" s="501"/>
      <c r="AY3" s="1156">
        <v>0</v>
      </c>
    </row>
    <row customHeight="1" ht="23.25" hidden="1">
      <c r="A4" s="1364"/>
      <c r="B4" s="1364"/>
      <c r="C4" s="1364"/>
      <c r="D4" s="1364"/>
      <c r="E4" s="2260"/>
      <c r="F4" s="2260"/>
      <c r="G4" s="2259">
        <v>1</v>
      </c>
      <c r="H4" s="1364"/>
      <c r="I4" s="1364"/>
      <c r="J4" s="1364"/>
      <c r="K4" s="1364"/>
      <c r="L4" s="1365"/>
      <c r="M4" s="1366"/>
      <c r="N4" s="1366"/>
      <c r="O4" s="1366"/>
      <c r="P4" s="355"/>
      <c r="Q4" s="353"/>
      <c r="R4" s="354"/>
      <c r="S4" s="1494">
        <f>INDEX(PT_DIFFERENTIATION_NUM_CS,MATCH(C4,PT_DIFFERENTIATION_CS_ID,0))</f>
      </c>
      <c r="T4" s="310" t="s">
        <v>549</v>
      </c>
      <c r="U4" s="301"/>
      <c r="V4" s="2243"/>
      <c r="W4" s="2244"/>
      <c r="X4" s="2244"/>
      <c r="Y4" s="2244"/>
      <c r="Z4" s="2244"/>
      <c r="AA4" s="2244"/>
      <c r="AB4" s="2244"/>
      <c r="AC4" s="2244"/>
      <c r="AD4" s="2244"/>
      <c r="AE4" s="2244"/>
      <c r="AF4" s="2245"/>
      <c r="AG4" s="2243">
        <f>INDEX(PT_DIFFERENTIATION_CS,MATCH(C4,PT_DIFFERENTIATION_CS_ID,0))</f>
      </c>
      <c r="AH4" s="2244"/>
      <c r="AI4" s="2244"/>
      <c r="AJ4" s="2244"/>
      <c r="AK4" s="2244"/>
      <c r="AL4" s="2244"/>
      <c r="AM4" s="2244"/>
      <c r="AN4" s="2244"/>
      <c r="AO4" s="2244"/>
      <c r="AP4" s="2244"/>
      <c r="AQ4" s="2244"/>
      <c r="AR4" s="2245"/>
      <c r="AS4" s="1259" t="s">
        <v>550</v>
      </c>
      <c r="AU4" s="501"/>
      <c r="AV4" s="501" t="str">
        <f>IF(T4="","",T4)</f>
        <v>Наименование централизованной системы горячего водоснабжения</v>
      </c>
      <c r="AW4" s="501"/>
      <c r="AX4" s="501"/>
      <c r="AY4" s="1156">
        <v>0</v>
      </c>
    </row>
    <row customHeight="1" ht="23.25" hidden="1">
      <c r="A5" s="1364"/>
      <c r="B5" s="1364"/>
      <c r="C5" s="1364"/>
      <c r="D5" s="1364"/>
      <c r="E5" s="2260"/>
      <c r="F5" s="2260"/>
      <c r="G5" s="2260"/>
      <c r="H5" s="2260"/>
      <c r="I5" s="2257">
        <f>S4&amp;".1"</f>
      </c>
      <c r="J5" s="1364"/>
      <c r="K5" s="1364"/>
      <c r="L5" s="1365"/>
      <c r="P5" s="2258">
        <v>1</v>
      </c>
      <c r="Q5" s="1482"/>
      <c r="R5" s="357"/>
      <c r="S5" s="1494">
        <f>$I5</f>
      </c>
      <c r="T5" s="286" t="s">
        <v>502</v>
      </c>
      <c r="U5" s="301"/>
      <c r="V5" s="2351"/>
      <c r="W5" s="2352"/>
      <c r="X5" s="2352"/>
      <c r="Y5" s="2352"/>
      <c r="Z5" s="2352"/>
      <c r="AA5" s="2352"/>
      <c r="AB5" s="2352"/>
      <c r="AC5" s="2352"/>
      <c r="AD5" s="2352"/>
      <c r="AE5" s="2352"/>
      <c r="AF5" s="2353"/>
      <c r="AG5" s="2354"/>
      <c r="AH5" s="2355"/>
      <c r="AI5" s="2355"/>
      <c r="AJ5" s="2355"/>
      <c r="AK5" s="2355"/>
      <c r="AL5" s="2355"/>
      <c r="AM5" s="2355"/>
      <c r="AN5" s="2355"/>
      <c r="AO5" s="2355"/>
      <c r="AP5" s="2355"/>
      <c r="AQ5" s="2355"/>
      <c r="AR5" s="2356"/>
      <c r="AS5" s="1259" t="s">
        <v>503</v>
      </c>
      <c r="AU5" s="501"/>
      <c r="AV5" s="501" t="str">
        <f>IF(T5="","",T5)</f>
        <v>Наименование признака дифференциации</v>
      </c>
      <c r="AW5" s="501"/>
      <c r="AX5" s="501"/>
      <c r="AY5" s="1156">
        <v>0</v>
      </c>
    </row>
    <row customHeight="1" ht="23.25" hidden="1">
      <c r="A6" s="1364"/>
      <c r="B6" s="1364"/>
      <c r="C6" s="1364"/>
      <c r="D6" s="1364"/>
      <c r="E6" s="2260"/>
      <c r="F6" s="2260"/>
      <c r="G6" s="2260"/>
      <c r="H6" s="2260"/>
      <c r="I6" s="2287"/>
      <c r="J6" s="2257">
        <f>I5&amp;".1"</f>
      </c>
      <c r="K6" s="1364"/>
      <c r="L6" s="1365" t="s">
        <v>423</v>
      </c>
      <c r="P6" s="2258"/>
      <c r="Q6" s="2258">
        <v>1</v>
      </c>
      <c r="R6" s="358"/>
      <c r="S6" s="1494">
        <f>$J6</f>
      </c>
      <c r="T6" s="287" t="s">
        <v>424</v>
      </c>
      <c r="U6" s="301"/>
      <c r="V6" s="2246"/>
      <c r="W6" s="2247"/>
      <c r="X6" s="2247"/>
      <c r="Y6" s="2247"/>
      <c r="Z6" s="2247"/>
      <c r="AA6" s="2247"/>
      <c r="AB6" s="2247"/>
      <c r="AC6" s="2247"/>
      <c r="AD6" s="2247"/>
      <c r="AE6" s="2247"/>
      <c r="AF6" s="2248"/>
      <c r="AG6" s="2246"/>
      <c r="AH6" s="2247"/>
      <c r="AI6" s="2247"/>
      <c r="AJ6" s="2247"/>
      <c r="AK6" s="2247"/>
      <c r="AL6" s="2247"/>
      <c r="AM6" s="2247"/>
      <c r="AN6" s="2247"/>
      <c r="AO6" s="2247"/>
      <c r="AP6" s="2247"/>
      <c r="AQ6" s="2247"/>
      <c r="AR6" s="2248"/>
      <c r="AS6" s="1308" t="s">
        <v>504</v>
      </c>
      <c r="AU6" s="501"/>
      <c r="AV6" s="501" t="str">
        <f>IF(T6="","",T6)</f>
        <v>Группа потребителей</v>
      </c>
      <c r="AW6" s="501"/>
      <c r="AX6" s="501"/>
      <c r="AY6" s="1156">
        <v>0</v>
      </c>
    </row>
    <row customHeight="1" ht="23.25" hidden="1">
      <c r="A7" s="1364"/>
      <c r="B7" s="1364"/>
      <c r="C7" s="1364"/>
      <c r="D7" s="1364"/>
      <c r="E7" s="2260"/>
      <c r="F7" s="2260"/>
      <c r="G7" s="2260"/>
      <c r="H7" s="2260"/>
      <c r="I7" s="2287"/>
      <c r="J7" s="2287"/>
      <c r="K7" s="2257">
        <f>J6&amp;".1"</f>
      </c>
      <c r="L7" s="1365"/>
      <c r="P7" s="2258"/>
      <c r="Q7" s="2258"/>
      <c r="R7" s="358">
        <v>1</v>
      </c>
      <c r="S7" s="1494">
        <f>$K7</f>
      </c>
      <c r="T7" s="1438"/>
      <c r="U7" s="301"/>
      <c r="V7" s="752"/>
      <c r="W7" s="752"/>
      <c r="X7" s="752"/>
      <c r="Y7" s="752"/>
      <c r="Z7" s="752"/>
      <c r="AA7" s="752"/>
      <c r="AB7" s="752"/>
      <c r="AC7" s="2266"/>
      <c r="AD7" s="2108" t="s">
        <v>61</v>
      </c>
      <c r="AE7" s="2266"/>
      <c r="AF7" s="2108" t="s">
        <v>61</v>
      </c>
      <c r="AG7" s="752"/>
      <c r="AH7" s="752"/>
      <c r="AI7" s="752"/>
      <c r="AJ7" s="752"/>
      <c r="AK7" s="752"/>
      <c r="AL7" s="752"/>
      <c r="AM7" s="752"/>
      <c r="AN7" s="2266"/>
      <c r="AO7" s="2108" t="s">
        <v>61</v>
      </c>
      <c r="AP7" s="2288"/>
      <c r="AQ7" s="2108" t="s">
        <v>61</v>
      </c>
      <c r="AR7" s="1439"/>
      <c r="AS7" s="2350"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T7" s="512">
        <f>STRCHECKDATE(V8:AR8)</f>
      </c>
      <c r="AU7" s="501"/>
      <c r="AV7" s="501" t="str">
        <f>IF(T7="","",T7)</f>
        <v/>
      </c>
      <c r="AW7" s="501"/>
      <c r="AX7" s="501"/>
      <c r="AY7" s="1156">
        <v>0</v>
      </c>
    </row>
    <row customHeight="1" ht="14.25" hidden="1">
      <c r="A8" s="1364"/>
      <c r="B8" s="1364"/>
      <c r="C8" s="1364"/>
      <c r="D8" s="1364"/>
      <c r="E8" s="2260"/>
      <c r="F8" s="2260"/>
      <c r="G8" s="2260"/>
      <c r="H8" s="2260"/>
      <c r="I8" s="2287"/>
      <c r="J8" s="2287"/>
      <c r="K8" s="2257"/>
      <c r="L8" s="1365"/>
      <c r="P8" s="2258"/>
      <c r="Q8" s="2258"/>
      <c r="R8" s="358"/>
      <c r="S8" s="1491"/>
      <c r="T8" s="301"/>
      <c r="U8" s="301"/>
      <c r="V8" s="326"/>
      <c r="W8" s="326"/>
      <c r="X8" s="326"/>
      <c r="Y8" s="326"/>
      <c r="Z8" s="326"/>
      <c r="AA8" s="326"/>
      <c r="AB8" s="326"/>
      <c r="AC8" s="2267"/>
      <c r="AD8" s="2108"/>
      <c r="AE8" s="2267"/>
      <c r="AF8" s="2108"/>
      <c r="AG8" s="326"/>
      <c r="AH8" s="326"/>
      <c r="AI8" s="326"/>
      <c r="AJ8" s="326"/>
      <c r="AK8" s="326"/>
      <c r="AL8" s="326"/>
      <c r="AM8" s="326"/>
      <c r="AN8" s="2267"/>
      <c r="AO8" s="2108"/>
      <c r="AP8" s="2289"/>
      <c r="AQ8" s="2108"/>
      <c r="AR8" s="1440"/>
      <c r="AS8" s="2350"/>
      <c r="AU8" s="501"/>
      <c r="AV8" s="501" t="str">
        <f>IF(T8="","",T8)</f>
        <v/>
      </c>
      <c r="AW8" s="501"/>
      <c r="AX8" s="501"/>
      <c r="AY8" s="1156">
        <v>0</v>
      </c>
    </row>
    <row customHeight="1" ht="21" hidden="1">
      <c r="A9" s="1364"/>
      <c r="B9" s="1364"/>
      <c r="C9" s="1364"/>
      <c r="D9" s="1364"/>
      <c r="E9" s="2260"/>
      <c r="F9" s="2260"/>
      <c r="G9" s="2260"/>
      <c r="H9" s="2260"/>
      <c r="I9" s="2287"/>
      <c r="J9" s="2257"/>
      <c r="K9" s="1364"/>
      <c r="L9" s="1365"/>
      <c r="P9" s="2258"/>
      <c r="Q9" s="2258"/>
      <c r="R9" s="357"/>
      <c r="S9" s="1279"/>
      <c r="T9" s="288" t="s">
        <v>505</v>
      </c>
      <c r="U9" s="368"/>
      <c r="V9" s="368"/>
      <c r="W9" s="601"/>
      <c r="X9" s="601"/>
      <c r="Y9" s="601"/>
      <c r="Z9" s="601"/>
      <c r="AA9" s="601"/>
      <c r="AB9" s="601"/>
      <c r="AC9" s="368"/>
      <c r="AD9" s="368"/>
      <c r="AE9" s="368"/>
      <c r="AF9" s="368"/>
      <c r="AG9" s="368"/>
      <c r="AH9" s="601"/>
      <c r="AI9" s="601"/>
      <c r="AJ9" s="601"/>
      <c r="AK9" s="601"/>
      <c r="AL9" s="601"/>
      <c r="AM9" s="368"/>
      <c r="AN9" s="368"/>
      <c r="AO9" s="368"/>
      <c r="AP9" s="368"/>
      <c r="AQ9" s="368"/>
      <c r="AR9" s="368"/>
      <c r="AS9" s="1259" t="s">
        <v>506</v>
      </c>
      <c r="AU9" s="501"/>
      <c r="AV9" s="501" t="str">
        <f>IF(T9="","",T9)</f>
        <v>Добавить значение признака дифференциации</v>
      </c>
      <c r="AW9" s="501"/>
      <c r="AX9" s="501"/>
      <c r="AY9" s="1156">
        <v>0</v>
      </c>
    </row>
    <row customHeight="1" ht="21" hidden="1">
      <c r="A10" s="1364"/>
      <c r="B10" s="1364"/>
      <c r="C10" s="1364"/>
      <c r="D10" s="1364"/>
      <c r="E10" s="2260"/>
      <c r="F10" s="2260"/>
      <c r="G10" s="2260"/>
      <c r="H10" s="2260"/>
      <c r="I10" s="2257"/>
      <c r="J10" s="1364"/>
      <c r="K10" s="1364"/>
      <c r="L10" s="1365"/>
      <c r="P10" s="2258"/>
      <c r="Q10" s="1482"/>
      <c r="R10" s="357"/>
      <c r="S10" s="1279"/>
      <c r="T10" s="366" t="s">
        <v>429</v>
      </c>
      <c r="U10" s="368"/>
      <c r="V10" s="368"/>
      <c r="W10" s="601"/>
      <c r="X10" s="601"/>
      <c r="Y10" s="601"/>
      <c r="Z10" s="601"/>
      <c r="AA10" s="601"/>
      <c r="AB10" s="601"/>
      <c r="AC10" s="368"/>
      <c r="AD10" s="368"/>
      <c r="AE10" s="368"/>
      <c r="AF10" s="367"/>
      <c r="AG10" s="368"/>
      <c r="AH10" s="601"/>
      <c r="AI10" s="601"/>
      <c r="AJ10" s="601"/>
      <c r="AK10" s="601"/>
      <c r="AL10" s="601"/>
      <c r="AM10" s="368"/>
      <c r="AN10" s="368"/>
      <c r="AO10" s="368"/>
      <c r="AP10" s="368"/>
      <c r="AQ10" s="367"/>
      <c r="AR10" s="368"/>
      <c r="AS10" s="1441"/>
      <c r="AU10" s="501"/>
      <c r="AV10" s="501" t="str">
        <f>IF(T10="","",T10)</f>
        <v>Добавить группу потребителей</v>
      </c>
      <c r="AW10" s="501"/>
      <c r="AX10" s="501"/>
      <c r="AY10" s="1156">
        <v>0</v>
      </c>
    </row>
    <row customHeight="1" ht="21" hidden="1">
      <c r="A11" s="1364"/>
      <c r="B11" s="1364"/>
      <c r="C11" s="1364"/>
      <c r="D11" s="1364"/>
      <c r="E11" s="2260"/>
      <c r="F11" s="2260"/>
      <c r="G11" s="2260"/>
      <c r="H11" s="2259"/>
      <c r="I11" s="1364"/>
      <c r="J11" s="1364"/>
      <c r="K11" s="1364"/>
      <c r="L11" s="1365"/>
      <c r="M11" s="1366"/>
      <c r="N11" s="1366"/>
      <c r="O11" s="538"/>
      <c r="P11" s="361"/>
      <c r="Q11" s="376"/>
      <c r="R11" s="356"/>
      <c r="S11" s="1279"/>
      <c r="T11" s="373" t="s">
        <v>507</v>
      </c>
      <c r="U11" s="368"/>
      <c r="V11" s="368"/>
      <c r="W11" s="601"/>
      <c r="X11" s="601"/>
      <c r="Y11" s="601"/>
      <c r="Z11" s="601"/>
      <c r="AA11" s="601"/>
      <c r="AB11" s="601"/>
      <c r="AC11" s="368"/>
      <c r="AD11" s="368"/>
      <c r="AE11" s="368"/>
      <c r="AF11" s="367"/>
      <c r="AG11" s="368"/>
      <c r="AH11" s="601"/>
      <c r="AI11" s="601"/>
      <c r="AJ11" s="601"/>
      <c r="AK11" s="601"/>
      <c r="AL11" s="601"/>
      <c r="AM11" s="368"/>
      <c r="AN11" s="368"/>
      <c r="AO11" s="368"/>
      <c r="AP11" s="368"/>
      <c r="AQ11" s="367"/>
      <c r="AR11" s="368"/>
      <c r="AS11" s="304"/>
      <c r="AU11" s="501"/>
      <c r="AV11" s="501" t="str">
        <f>IF(T11="","",T11)</f>
        <v>Добавить наименование признака дифференциации</v>
      </c>
      <c r="AW11" s="501"/>
      <c r="AX11" s="501"/>
      <c r="AY11" s="1156">
        <v>0</v>
      </c>
    </row>
    <row s="1643" customFormat="1" customHeight="1" ht="14.25" hidden="1">
      <c r="A12" s="1344"/>
      <c r="B12" s="1344"/>
      <c r="C12" s="1315"/>
      <c r="D12" s="1315"/>
      <c r="E12" s="2260"/>
      <c r="F12" s="2259"/>
      <c r="G12" s="1315"/>
      <c r="H12" s="1315"/>
      <c r="I12" s="1315"/>
      <c r="J12" s="1315"/>
      <c r="K12" s="1315"/>
      <c r="L12" s="1495"/>
      <c r="M12" s="1322"/>
      <c r="N12" s="1322"/>
      <c r="P12" s="1317"/>
      <c r="Q12" s="1318"/>
      <c r="R12" s="1317"/>
      <c r="S12" s="1323"/>
      <c r="T12" s="1326" t="s">
        <v>177</v>
      </c>
      <c r="U12" s="1325"/>
      <c r="V12" s="1325"/>
      <c r="W12" s="1325"/>
      <c r="X12" s="1325"/>
      <c r="Y12" s="1325"/>
      <c r="Z12" s="1325"/>
      <c r="AA12" s="1325"/>
      <c r="AB12" s="1325"/>
      <c r="AC12" s="1325"/>
      <c r="AD12" s="1325"/>
      <c r="AE12" s="1325"/>
      <c r="AF12" s="1325"/>
      <c r="AG12" s="1325"/>
      <c r="AH12" s="1325"/>
      <c r="AI12" s="1325"/>
      <c r="AJ12" s="1325"/>
      <c r="AK12" s="1325"/>
      <c r="AL12" s="1325"/>
      <c r="AM12" s="1325"/>
      <c r="AN12" s="1325"/>
      <c r="AO12" s="1325"/>
      <c r="AP12" s="1325"/>
      <c r="AQ12" s="1325"/>
      <c r="AR12" s="1325"/>
      <c r="AS12" s="1325"/>
      <c r="AU12" s="790"/>
      <c r="AV12" s="790" t="str">
        <f>IF(T12="","",T12)</f>
        <v>Добавить централизованную систему для дифференциации</v>
      </c>
      <c r="AW12" s="790"/>
      <c r="AX12" s="790"/>
      <c r="AY12" s="519">
        <v>0</v>
      </c>
    </row>
    <row s="1643" customFormat="1" customHeight="1" ht="14.25" hidden="1">
      <c r="A13" s="1344"/>
      <c r="B13" s="1344"/>
      <c r="C13" s="1344"/>
      <c r="D13" s="1344"/>
      <c r="E13" s="2259"/>
      <c r="F13" s="1344"/>
      <c r="G13" s="1344"/>
      <c r="H13" s="1344"/>
      <c r="I13" s="1344"/>
      <c r="J13" s="1344"/>
      <c r="K13" s="1344"/>
      <c r="L13" s="1347"/>
      <c r="M13" s="1322"/>
      <c r="N13" s="1322"/>
      <c r="O13" s="519"/>
      <c r="P13" s="381"/>
      <c r="Q13" s="1345"/>
      <c r="R13" s="381"/>
      <c r="S13" s="1323"/>
      <c r="T13" s="1326" t="s">
        <v>178</v>
      </c>
      <c r="U13" s="1325"/>
      <c r="V13" s="1325"/>
      <c r="W13" s="1325"/>
      <c r="X13" s="1325"/>
      <c r="Y13" s="1325"/>
      <c r="Z13" s="1325"/>
      <c r="AA13" s="1325"/>
      <c r="AB13" s="1325"/>
      <c r="AC13" s="1325"/>
      <c r="AD13" s="1325"/>
      <c r="AE13" s="1325"/>
      <c r="AF13" s="1325"/>
      <c r="AG13" s="1325"/>
      <c r="AH13" s="1325"/>
      <c r="AI13" s="1325"/>
      <c r="AJ13" s="1325"/>
      <c r="AK13" s="1325"/>
      <c r="AL13" s="1325"/>
      <c r="AM13" s="1325"/>
      <c r="AN13" s="1325"/>
      <c r="AO13" s="1325"/>
      <c r="AP13" s="1325"/>
      <c r="AQ13" s="1325"/>
      <c r="AR13" s="1325"/>
      <c r="AS13" s="1325"/>
      <c r="AU13" s="501"/>
      <c r="AV13" s="501" t="str">
        <f>IF(T13="","",T13)</f>
        <v>Добавить территорию для дифференциации</v>
      </c>
      <c r="AW13" s="501"/>
      <c r="AX13" s="501"/>
      <c r="AY13" s="512">
        <v>0</v>
      </c>
    </row>
    <row customHeight="1" ht="14.25" hidden="1">
      <c r="AF14" s="328"/>
      <c r="AQ14" s="328"/>
      <c r="AY14" s="1156">
        <v>0</v>
      </c>
    </row>
    <row customHeight="1" ht="14.25" hidden="1">
      <c r="AG15" s="1361"/>
      <c r="AH15" s="1361"/>
      <c r="AI15" s="1361"/>
      <c r="AJ15" s="1361"/>
      <c r="AK15" s="1361"/>
      <c r="AL15" s="1361"/>
      <c r="AM15" s="1361"/>
      <c r="AN15" s="2268"/>
      <c r="AO15" s="2269" t="s">
        <v>61</v>
      </c>
      <c r="AP15" s="2268"/>
      <c r="AQ15" s="2269" t="s">
        <v>61</v>
      </c>
      <c r="AY15" s="1156">
        <v>0</v>
      </c>
    </row>
    <row customHeight="1" ht="14.25" hidden="1">
      <c r="AG16" s="1361"/>
      <c r="AH16" s="1361"/>
      <c r="AI16" s="1361"/>
      <c r="AJ16" s="1361"/>
      <c r="AK16" s="1361"/>
      <c r="AL16" s="1361"/>
      <c r="AM16" s="1361"/>
      <c r="AN16" s="2269"/>
      <c r="AO16" s="2269"/>
      <c r="AP16" s="2269"/>
      <c r="AQ16" s="2269"/>
      <c r="AY16" s="1156">
        <v>0</v>
      </c>
    </row>
    <row customHeight="1" ht="14.25" hidden="1">
      <c r="AQ17" s="328"/>
      <c r="AY17" s="1156">
        <v>0</v>
      </c>
    </row>
    <row s="1367" customFormat="1" customHeight="1" ht="22.5" hidden="1">
      <c r="L18" s="1479"/>
      <c r="M18" s="1363"/>
      <c r="N18" s="1363"/>
      <c r="O18" s="1368" t="s">
        <v>431</v>
      </c>
      <c r="P18" s="1363"/>
      <c r="Q18" s="1372"/>
      <c r="R18" s="1372"/>
      <c r="S18" s="730"/>
      <c r="W18" s="1367"/>
      <c r="X18" s="1367"/>
      <c r="Y18" s="1367"/>
      <c r="Z18" s="1367"/>
      <c r="AA18" s="1367"/>
      <c r="AB18" s="1367"/>
      <c r="AC18" s="1368"/>
      <c r="AE18" s="1368"/>
      <c r="AF18" s="1367"/>
      <c r="AH18" s="1367"/>
      <c r="AI18" s="1367"/>
      <c r="AJ18" s="1367"/>
      <c r="AK18" s="1367"/>
      <c r="AL18" s="1367"/>
      <c r="AN18" s="1368"/>
      <c r="AP18" s="1368"/>
      <c r="AQ18" s="1367"/>
      <c r="AT18" s="512"/>
      <c r="AU18" s="512"/>
      <c r="AV18" s="512"/>
      <c r="AW18" s="512"/>
      <c r="AX18" s="512"/>
      <c r="AY18" s="1161">
        <v>0</v>
      </c>
    </row>
    <row s="1367" customFormat="1" customHeight="1" ht="14.25" hidden="1">
      <c r="L19" s="1479"/>
      <c r="M19" s="1363"/>
      <c r="N19" s="1363"/>
      <c r="O19" s="1363"/>
      <c r="P19" s="1363"/>
      <c r="Q19" s="1372"/>
      <c r="R19" s="1372"/>
      <c r="S19" s="730"/>
      <c r="W19" s="1367"/>
      <c r="X19" s="1367"/>
      <c r="Y19" s="1367"/>
      <c r="Z19" s="1367"/>
      <c r="AA19" s="1367"/>
      <c r="AB19" s="1367"/>
      <c r="AF19" s="1367"/>
      <c r="AH19" s="1367"/>
      <c r="AI19" s="1367"/>
      <c r="AJ19" s="1367"/>
      <c r="AK19" s="1367"/>
      <c r="AL19" s="1367"/>
      <c r="AQ19" s="1367"/>
      <c r="AT19" s="512"/>
      <c r="AU19" s="512"/>
      <c r="AV19" s="512"/>
      <c r="AW19" s="512"/>
      <c r="AX19" s="512"/>
      <c r="AY19" s="1161">
        <v>0</v>
      </c>
    </row>
    <row s="1367" customFormat="1" customHeight="1" ht="12" hidden="1">
      <c r="L20" s="1479"/>
      <c r="M20" s="1363"/>
      <c r="N20" s="1363"/>
      <c r="O20" s="1365" t="s">
        <v>432</v>
      </c>
      <c r="P20" s="1363"/>
      <c r="Q20" s="1443"/>
      <c r="R20" s="1443"/>
      <c r="S20" s="730"/>
      <c r="T20" s="1161" t="s">
        <v>433</v>
      </c>
      <c r="W20" s="1367"/>
      <c r="X20" s="1367"/>
      <c r="Y20" s="1367"/>
      <c r="Z20" s="1367"/>
      <c r="AA20" s="1367"/>
      <c r="AB20" s="1367"/>
      <c r="AD20" s="187" t="s">
        <v>434</v>
      </c>
      <c r="AF20" s="187" t="s">
        <v>435</v>
      </c>
      <c r="AG20" s="1161" t="s">
        <v>433</v>
      </c>
      <c r="AH20" s="1367"/>
      <c r="AI20" s="1367"/>
      <c r="AJ20" s="1367"/>
      <c r="AK20" s="1367"/>
      <c r="AL20" s="1367"/>
      <c r="AO20" s="187" t="s">
        <v>436</v>
      </c>
      <c r="AQ20" s="187" t="s">
        <v>435</v>
      </c>
      <c r="AY20" s="1161">
        <v>0</v>
      </c>
    </row>
    <row customHeight="1" ht="14.25" hidden="1">
      <c r="O21" s="1365"/>
      <c r="AY21" s="1156">
        <v>0</v>
      </c>
    </row>
    <row customHeight="1" ht="14.25" hidden="1">
      <c r="O22" s="1365"/>
      <c r="AY22" s="1156">
        <v>0</v>
      </c>
    </row>
    <row customHeight="1" ht="14.699999999999998">
      <c r="Q23" s="377"/>
      <c r="R23" s="377"/>
      <c r="S23" s="1276"/>
      <c r="T23" s="364"/>
      <c r="U23" s="364"/>
      <c r="V23" s="510"/>
      <c r="W23" s="1636"/>
      <c r="X23" s="1636"/>
      <c r="Y23" s="1636"/>
      <c r="Z23" s="1636"/>
      <c r="AA23" s="1636"/>
      <c r="AB23" s="1636"/>
      <c r="AC23" s="510"/>
      <c r="AD23" s="510"/>
      <c r="AE23" s="510"/>
      <c r="AF23" s="510"/>
      <c r="AG23" s="510"/>
      <c r="AH23" s="1636"/>
      <c r="AI23" s="1636"/>
      <c r="AJ23" s="1636"/>
      <c r="AK23" s="1636"/>
      <c r="AL23" s="1636"/>
      <c r="AM23" s="510"/>
      <c r="AN23" s="510"/>
      <c r="AO23" s="510"/>
      <c r="AP23" s="510"/>
      <c r="AQ23" s="510"/>
      <c r="AY23" s="1156">
        <v>14</v>
      </c>
    </row>
    <row customHeight="1" ht="26.25">
      <c r="Q24" s="377"/>
      <c r="R24" s="377"/>
      <c r="S24" s="2249" t="str">
        <f>IF(TEMPLATE_GROUP="P",PT_P_FORM_HOTVSNA_4_NAME_FORM,PT_R_FORM_HOTVSNA_16_NAME_FORM)</f>
        <v>Форма 13. Информация о предложении организации горячего водоснабжения об установлении расчетной величины тарифов в сфере горячего водоснабжения на очередной период регулирования</v>
      </c>
      <c r="T24" s="2249"/>
      <c r="U24" s="2249"/>
      <c r="V24" s="2249"/>
      <c r="W24" s="2249"/>
      <c r="X24" s="2249"/>
      <c r="Y24" s="2249"/>
      <c r="Z24" s="2249"/>
      <c r="AA24" s="2249"/>
      <c r="AB24" s="2249"/>
      <c r="AC24" s="2249"/>
      <c r="AD24" s="2249"/>
      <c r="AE24" s="2249"/>
      <c r="AF24" s="2249"/>
      <c r="AG24" s="2249"/>
      <c r="AH24" s="2249"/>
      <c r="AI24" s="2249"/>
      <c r="AJ24" s="2249"/>
      <c r="AK24" s="2249"/>
      <c r="AL24" s="2249"/>
      <c r="AM24" s="2249"/>
      <c r="AN24" s="2249"/>
      <c r="AO24" s="2249"/>
      <c r="AP24" s="2249"/>
      <c r="AQ24" s="1244"/>
      <c r="AY24" s="1156">
        <v>25</v>
      </c>
    </row>
    <row customHeight="1" ht="14.699999999999998">
      <c r="Q25" s="377"/>
      <c r="R25" s="377"/>
      <c r="S25" s="2250" t="str">
        <f>IF(org=0,"Не определено",org)</f>
        <v>ПАО "КГК"</v>
      </c>
      <c r="T25" s="2250"/>
      <c r="U25" s="2250"/>
      <c r="V25" s="2250"/>
      <c r="W25" s="2250"/>
      <c r="X25" s="2250"/>
      <c r="Y25" s="2250"/>
      <c r="Z25" s="2250"/>
      <c r="AA25" s="2250"/>
      <c r="AB25" s="2250"/>
      <c r="AC25" s="2250"/>
      <c r="AD25" s="2250"/>
      <c r="AE25" s="2250"/>
      <c r="AF25" s="2250"/>
      <c r="AG25" s="2250"/>
      <c r="AH25" s="2250"/>
      <c r="AI25" s="2250"/>
      <c r="AJ25" s="2250"/>
      <c r="AK25" s="2250"/>
      <c r="AL25" s="2250"/>
      <c r="AM25" s="2250"/>
      <c r="AN25" s="2250"/>
      <c r="AO25" s="2250"/>
      <c r="AP25" s="2250"/>
      <c r="AQ25" s="1244"/>
      <c r="AY25" s="1156">
        <v>14</v>
      </c>
    </row>
    <row customHeight="1" ht="14.25" hidden="1">
      <c r="Q26" s="377"/>
      <c r="R26" s="377"/>
      <c r="S26" s="1276"/>
      <c r="T26" s="364"/>
      <c r="U26" s="364"/>
      <c r="V26" s="323"/>
      <c r="W26" s="323"/>
      <c r="X26" s="323"/>
      <c r="Y26" s="323"/>
      <c r="Z26" s="323"/>
      <c r="AA26" s="323"/>
      <c r="AB26" s="323"/>
      <c r="AC26" s="323"/>
      <c r="AD26" s="323"/>
      <c r="AE26" s="323"/>
      <c r="AF26" s="323"/>
      <c r="AG26" s="323"/>
      <c r="AH26" s="323"/>
      <c r="AI26" s="323"/>
      <c r="AJ26" s="323"/>
      <c r="AK26" s="323"/>
      <c r="AL26" s="323"/>
      <c r="AM26" s="323"/>
      <c r="AN26" s="323"/>
      <c r="AO26" s="323"/>
      <c r="AP26" s="323"/>
      <c r="AQ26" s="323"/>
      <c r="AR26" s="510"/>
      <c r="AY26" s="1156">
        <v>0</v>
      </c>
    </row>
    <row s="1854" customFormat="1" customHeight="1" ht="25.5" hidden="1">
      <c r="A27" s="1369"/>
      <c r="B27" s="1369"/>
      <c r="C27" s="1369"/>
      <c r="D27" s="1369"/>
      <c r="E27" s="1369"/>
      <c r="F27" s="1369"/>
      <c r="G27" s="1369"/>
      <c r="H27" s="1369"/>
      <c r="I27" s="1369"/>
      <c r="J27" s="1369"/>
      <c r="K27" s="1369"/>
      <c r="L27" s="1370"/>
      <c r="M27" s="1369"/>
      <c r="N27" s="1369"/>
      <c r="O27" s="1369"/>
      <c r="S27" s="2251" t="s">
        <v>42</v>
      </c>
      <c r="T27" s="2251"/>
      <c r="U27" s="1373"/>
      <c r="V27" s="2252" t="str">
        <f>IF(TITLE_NAME_OR_PR_CHANGE="",IF(TITLE_NAME_OR_PR="","",TITLE_NAME_OR_PR),TITLE_NAME_OR_PR_CHANGE)</f>
        <v/>
      </c>
      <c r="W27" s="2252"/>
      <c r="X27" s="2252"/>
      <c r="Y27" s="2252"/>
      <c r="Z27" s="2252"/>
      <c r="AA27" s="2252"/>
      <c r="AB27" s="2252"/>
      <c r="AC27" s="2252"/>
      <c r="AD27" s="2252"/>
      <c r="AE27" s="2252"/>
      <c r="AF27" s="327"/>
      <c r="AG27" s="2252" t="str">
        <f>IF(TITLE_NAME_OR_PR_CHANGE="",IF(TITLE_NAME_OR_PR="","",TITLE_NAME_OR_PR),TITLE_NAME_OR_PR_CHANGE)</f>
        <v/>
      </c>
      <c r="AH27" s="2252"/>
      <c r="AI27" s="2252"/>
      <c r="AJ27" s="2252"/>
      <c r="AK27" s="2252"/>
      <c r="AL27" s="2252"/>
      <c r="AM27" s="2252"/>
      <c r="AN27" s="2252"/>
      <c r="AO27" s="2252"/>
      <c r="AP27" s="2252"/>
      <c r="AQ27" s="327"/>
      <c r="AR27" s="327"/>
      <c r="AS27" s="281"/>
      <c r="AT27" s="369"/>
      <c r="AU27" s="369"/>
      <c r="AV27" s="369"/>
      <c r="AW27" s="369"/>
      <c r="AX27" s="369"/>
      <c r="AY27" s="419">
        <v>0</v>
      </c>
    </row>
    <row s="1854" customFormat="1" customHeight="1" ht="18.75" hidden="1">
      <c r="A28" s="1369"/>
      <c r="B28" s="1369"/>
      <c r="C28" s="1369"/>
      <c r="D28" s="1369"/>
      <c r="E28" s="1369"/>
      <c r="F28" s="1369"/>
      <c r="G28" s="1369"/>
      <c r="H28" s="1369"/>
      <c r="I28" s="1369"/>
      <c r="J28" s="1369"/>
      <c r="K28" s="1369"/>
      <c r="L28" s="1370"/>
      <c r="M28" s="1369"/>
      <c r="N28" s="1369"/>
      <c r="O28" s="1369"/>
      <c r="S28" s="2251" t="s">
        <v>437</v>
      </c>
      <c r="T28" s="2251"/>
      <c r="U28" s="1373"/>
      <c r="V28" s="2265" t="str">
        <f>IF(TITLE_DATE_PR_CHANGE="",IF(TITLE_DATE_PR="","",TITLE_DATE_PR),TITLE_DATE_PR_CHANGE)</f>
        <v>46142</v>
      </c>
      <c r="W28" s="2265"/>
      <c r="X28" s="2265"/>
      <c r="Y28" s="2265"/>
      <c r="Z28" s="2265"/>
      <c r="AA28" s="2265"/>
      <c r="AB28" s="2265"/>
      <c r="AC28" s="2265"/>
      <c r="AD28" s="2265"/>
      <c r="AE28" s="2265"/>
      <c r="AF28" s="327"/>
      <c r="AG28" s="2265" t="str">
        <f>IF(TITLE_DATE_PR_CHANGE="",IF(TITLE_DATE_PR="","",TITLE_DATE_PR),TITLE_DATE_PR_CHANGE)</f>
        <v>46142</v>
      </c>
      <c r="AH28" s="2265"/>
      <c r="AI28" s="2265"/>
      <c r="AJ28" s="2265"/>
      <c r="AK28" s="2265"/>
      <c r="AL28" s="2265"/>
      <c r="AM28" s="2265"/>
      <c r="AN28" s="2265"/>
      <c r="AO28" s="2265"/>
      <c r="AP28" s="2265"/>
      <c r="AQ28" s="327"/>
      <c r="AR28" s="327"/>
      <c r="AS28" s="281"/>
      <c r="AT28" s="369"/>
      <c r="AU28" s="369"/>
      <c r="AV28" s="369"/>
      <c r="AW28" s="369"/>
      <c r="AX28" s="369"/>
      <c r="AY28" s="419">
        <v>0</v>
      </c>
    </row>
    <row s="1854" customFormat="1" customHeight="1" ht="18.75" hidden="1">
      <c r="A29" s="1369"/>
      <c r="B29" s="1369"/>
      <c r="C29" s="1369"/>
      <c r="D29" s="1369"/>
      <c r="E29" s="1369"/>
      <c r="F29" s="1369"/>
      <c r="G29" s="1369"/>
      <c r="H29" s="1369"/>
      <c r="I29" s="1369"/>
      <c r="J29" s="1369"/>
      <c r="K29" s="1369"/>
      <c r="L29" s="1370"/>
      <c r="M29" s="1369"/>
      <c r="N29" s="1369"/>
      <c r="O29" s="1369"/>
      <c r="S29" s="2251" t="s">
        <v>438</v>
      </c>
      <c r="T29" s="2251"/>
      <c r="U29" s="1373"/>
      <c r="V29" s="2252" t="str">
        <f>IF(TITLE_NUMBER_PR_CHANGE="",IF(TITLE_NUMBER_PR="","",TITLE_NUMBER_PR),TITLE_NUMBER_PR_CHANGE)</f>
        <v>206Т</v>
      </c>
      <c r="W29" s="2252"/>
      <c r="X29" s="2252"/>
      <c r="Y29" s="2252"/>
      <c r="Z29" s="2252"/>
      <c r="AA29" s="2252"/>
      <c r="AB29" s="2252"/>
      <c r="AC29" s="2252"/>
      <c r="AD29" s="2252"/>
      <c r="AE29" s="2252"/>
      <c r="AF29" s="327"/>
      <c r="AG29" s="2252" t="str">
        <f>IF(TITLE_NUMBER_PR_CHANGE="",IF(TITLE_NUMBER_PR="","",TITLE_NUMBER_PR),TITLE_NUMBER_PR_CHANGE)</f>
        <v>206Т</v>
      </c>
      <c r="AH29" s="2252"/>
      <c r="AI29" s="2252"/>
      <c r="AJ29" s="2252"/>
      <c r="AK29" s="2252"/>
      <c r="AL29" s="2252"/>
      <c r="AM29" s="2252"/>
      <c r="AN29" s="2252"/>
      <c r="AO29" s="2252"/>
      <c r="AP29" s="2252"/>
      <c r="AQ29" s="327"/>
      <c r="AR29" s="327"/>
      <c r="AS29" s="281"/>
      <c r="AT29" s="369"/>
      <c r="AU29" s="369"/>
      <c r="AV29" s="369"/>
      <c r="AW29" s="369"/>
      <c r="AX29" s="369"/>
      <c r="AY29" s="419">
        <v>0</v>
      </c>
    </row>
    <row s="1854" customFormat="1" customHeight="1" ht="18.75" hidden="1">
      <c r="A30" s="1369"/>
      <c r="B30" s="1369"/>
      <c r="C30" s="1369"/>
      <c r="D30" s="1369"/>
      <c r="E30" s="1369"/>
      <c r="F30" s="1369"/>
      <c r="G30" s="1369"/>
      <c r="H30" s="1369"/>
      <c r="I30" s="1369"/>
      <c r="J30" s="1369"/>
      <c r="K30" s="1369"/>
      <c r="L30" s="1370"/>
      <c r="M30" s="1369"/>
      <c r="N30" s="1369"/>
      <c r="O30" s="1369"/>
      <c r="S30" s="2251" t="s">
        <v>43</v>
      </c>
      <c r="T30" s="2251"/>
      <c r="U30" s="1373"/>
      <c r="V30" s="2252" t="str">
        <f>IF(TITLE_IST_PUB_CHANGE="",IF(TITLE_IST_PUB="","",TITLE_IST_PUB),TITLE_IST_PUB_CHANGE)</f>
        <v/>
      </c>
      <c r="W30" s="2252"/>
      <c r="X30" s="2252"/>
      <c r="Y30" s="2252"/>
      <c r="Z30" s="2252"/>
      <c r="AA30" s="2252"/>
      <c r="AB30" s="2252"/>
      <c r="AC30" s="2252"/>
      <c r="AD30" s="2252"/>
      <c r="AE30" s="2252"/>
      <c r="AF30" s="327"/>
      <c r="AG30" s="2252" t="str">
        <f>IF(TITLE_IST_PUB_CHANGE="",IF(TITLE_IST_PUB="","",TITLE_IST_PUB),TITLE_IST_PUB_CHANGE)</f>
        <v/>
      </c>
      <c r="AH30" s="2252"/>
      <c r="AI30" s="2252"/>
      <c r="AJ30" s="2252"/>
      <c r="AK30" s="2252"/>
      <c r="AL30" s="2252"/>
      <c r="AM30" s="2252"/>
      <c r="AN30" s="2252"/>
      <c r="AO30" s="2252"/>
      <c r="AP30" s="2252"/>
      <c r="AQ30" s="327"/>
      <c r="AR30" s="327"/>
      <c r="AS30" s="281"/>
      <c r="AT30" s="369"/>
      <c r="AU30" s="369"/>
      <c r="AV30" s="369"/>
      <c r="AW30" s="369"/>
      <c r="AX30" s="369"/>
      <c r="AY30" s="419">
        <v>0</v>
      </c>
    </row>
    <row customHeight="1" ht="14.25">
      <c r="Q31" s="377"/>
      <c r="R31" s="377"/>
      <c r="S31" s="1276"/>
      <c r="T31" s="364"/>
      <c r="U31" s="364"/>
      <c r="V31" s="323"/>
      <c r="W31" s="323"/>
      <c r="X31" s="323"/>
      <c r="Y31" s="323"/>
      <c r="Z31" s="323"/>
      <c r="AA31" s="323"/>
      <c r="AB31" s="323"/>
      <c r="AC31" s="323"/>
      <c r="AD31" s="323"/>
      <c r="AE31" s="323"/>
      <c r="AF31" s="323"/>
      <c r="AG31" s="323"/>
      <c r="AH31" s="323"/>
      <c r="AI31" s="323"/>
      <c r="AJ31" s="323"/>
      <c r="AK31" s="323"/>
      <c r="AL31" s="323"/>
      <c r="AM31" s="323"/>
      <c r="AN31" s="323"/>
      <c r="AO31" s="323"/>
      <c r="AP31" s="323"/>
      <c r="AQ31" s="323"/>
      <c r="AR31" s="510"/>
      <c r="AY31" s="1156">
        <v>0</v>
      </c>
    </row>
    <row s="1854" customFormat="1" customHeight="1" ht="18.75">
      <c r="A32" s="1369"/>
      <c r="B32" s="1369"/>
      <c r="C32" s="1369"/>
      <c r="D32" s="1369"/>
      <c r="E32" s="1369"/>
      <c r="F32" s="1369"/>
      <c r="G32" s="1369"/>
      <c r="H32" s="1369"/>
      <c r="I32" s="1369"/>
      <c r="J32" s="1369"/>
      <c r="K32" s="1369"/>
      <c r="L32" s="1370"/>
      <c r="M32" s="1369"/>
      <c r="N32" s="1369"/>
      <c r="O32" s="1369"/>
      <c r="S32" s="2251" t="s">
        <v>439</v>
      </c>
      <c r="T32" s="2251"/>
      <c r="U32" s="1373"/>
      <c r="V32" s="2265" t="str">
        <f>IF(TITLE_DATE_PR_CHANGE="",IF(TITLE_DATE_PR="","",TITLE_DATE_PR),TITLE_DATE_PR_CHANGE)</f>
        <v>46142</v>
      </c>
      <c r="W32" s="2265"/>
      <c r="X32" s="2265"/>
      <c r="Y32" s="2265"/>
      <c r="Z32" s="2265"/>
      <c r="AA32" s="2265"/>
      <c r="AB32" s="2265"/>
      <c r="AC32" s="2265"/>
      <c r="AD32" s="2265"/>
      <c r="AE32" s="2265"/>
      <c r="AF32" s="327"/>
      <c r="AG32" s="2265" t="str">
        <f>IF(TITLE_DATE_PR_CHANGE="",IF(TITLE_DATE_PR="","",TITLE_DATE_PR),TITLE_DATE_PR_CHANGE)</f>
        <v>46142</v>
      </c>
      <c r="AH32" s="2265"/>
      <c r="AI32" s="2265"/>
      <c r="AJ32" s="2265"/>
      <c r="AK32" s="2265"/>
      <c r="AL32" s="2265"/>
      <c r="AM32" s="2265"/>
      <c r="AN32" s="2265"/>
      <c r="AO32" s="2265"/>
      <c r="AP32" s="2265"/>
      <c r="AQ32" s="327"/>
      <c r="AR32" s="327"/>
      <c r="AS32" s="281"/>
      <c r="AT32" s="369"/>
      <c r="AU32" s="369"/>
      <c r="AV32" s="369"/>
      <c r="AW32" s="369"/>
      <c r="AX32" s="369"/>
      <c r="AY32" s="419">
        <v>0</v>
      </c>
    </row>
    <row s="1854" customFormat="1" customHeight="1" ht="18.75">
      <c r="A33" s="1369"/>
      <c r="B33" s="1369"/>
      <c r="C33" s="1369"/>
      <c r="D33" s="1369"/>
      <c r="E33" s="1369"/>
      <c r="F33" s="1369"/>
      <c r="G33" s="1369"/>
      <c r="H33" s="1369"/>
      <c r="I33" s="1369"/>
      <c r="J33" s="1369"/>
      <c r="K33" s="1369"/>
      <c r="L33" s="1370"/>
      <c r="M33" s="1369"/>
      <c r="N33" s="1369"/>
      <c r="O33" s="1369"/>
      <c r="S33" s="2251" t="s">
        <v>440</v>
      </c>
      <c r="T33" s="2251"/>
      <c r="U33" s="1373"/>
      <c r="V33" s="2252" t="str">
        <f>IF(TITLE_NUMBER_PR_CHANGE="",IF(TITLE_NUMBER_PR="","",TITLE_NUMBER_PR),TITLE_NUMBER_PR_CHANGE)</f>
        <v>206Т</v>
      </c>
      <c r="W33" s="2252"/>
      <c r="X33" s="2252"/>
      <c r="Y33" s="2252"/>
      <c r="Z33" s="2252"/>
      <c r="AA33" s="2252"/>
      <c r="AB33" s="2252"/>
      <c r="AC33" s="2252"/>
      <c r="AD33" s="2252"/>
      <c r="AE33" s="2252"/>
      <c r="AF33" s="327"/>
      <c r="AG33" s="2252" t="str">
        <f>IF(TITLE_NUMBER_PR_CHANGE="",IF(TITLE_NUMBER_PR="","",TITLE_NUMBER_PR),TITLE_NUMBER_PR_CHANGE)</f>
        <v>206Т</v>
      </c>
      <c r="AH33" s="2252"/>
      <c r="AI33" s="2252"/>
      <c r="AJ33" s="2252"/>
      <c r="AK33" s="2252"/>
      <c r="AL33" s="2252"/>
      <c r="AM33" s="2252"/>
      <c r="AN33" s="2252"/>
      <c r="AO33" s="2252"/>
      <c r="AP33" s="2252"/>
      <c r="AQ33" s="327"/>
      <c r="AR33" s="327"/>
      <c r="AS33" s="281"/>
      <c r="AT33" s="369"/>
      <c r="AU33" s="369"/>
      <c r="AV33" s="369"/>
      <c r="AW33" s="369"/>
      <c r="AX33" s="369"/>
      <c r="AY33" s="419">
        <v>0</v>
      </c>
    </row>
    <row s="1854" customFormat="1" customHeight="1" ht="1.05">
      <c r="A34" s="1369"/>
      <c r="B34" s="1369"/>
      <c r="C34" s="1369"/>
      <c r="D34" s="1369"/>
      <c r="E34" s="1369"/>
      <c r="F34" s="1369"/>
      <c r="G34" s="1369"/>
      <c r="H34" s="1369"/>
      <c r="I34" s="1369"/>
      <c r="J34" s="1369"/>
      <c r="K34" s="1369"/>
      <c r="L34" s="1370"/>
      <c r="M34" s="1369"/>
      <c r="N34" s="1369"/>
      <c r="O34" s="1369"/>
      <c r="S34" s="324"/>
      <c r="T34" s="324"/>
      <c r="U34" s="1489"/>
      <c r="V34" s="327"/>
      <c r="W34" s="1636"/>
      <c r="X34" s="1636"/>
      <c r="Y34" s="1636"/>
      <c r="Z34" s="1636"/>
      <c r="AA34" s="1636"/>
      <c r="AB34" s="1636"/>
      <c r="AC34" s="327"/>
      <c r="AD34" s="327"/>
      <c r="AE34" s="327"/>
      <c r="AF34" s="279" t="s">
        <v>441</v>
      </c>
      <c r="AG34" s="327"/>
      <c r="AH34" s="1636"/>
      <c r="AI34" s="1636"/>
      <c r="AJ34" s="1636"/>
      <c r="AK34" s="1636"/>
      <c r="AL34" s="1636"/>
      <c r="AM34" s="327"/>
      <c r="AN34" s="327"/>
      <c r="AO34" s="327"/>
      <c r="AP34" s="327"/>
      <c r="AQ34" s="279" t="s">
        <v>441</v>
      </c>
      <c r="AT34" s="369"/>
      <c r="AU34" s="369"/>
      <c r="AV34" s="369"/>
      <c r="AW34" s="369"/>
      <c r="AX34" s="369"/>
      <c r="AY34" s="419">
        <v>1</v>
      </c>
    </row>
    <row customHeight="1" ht="14.699999999999998">
      <c r="Q35" s="377"/>
      <c r="R35" s="377"/>
      <c r="S35" s="1276"/>
      <c r="T35" s="364"/>
      <c r="U35" s="1245"/>
      <c r="V35" s="2253"/>
      <c r="W35" s="2253"/>
      <c r="X35" s="2253"/>
      <c r="Y35" s="2253"/>
      <c r="Z35" s="2253"/>
      <c r="AA35" s="2253"/>
      <c r="AB35" s="2253"/>
      <c r="AC35" s="2253"/>
      <c r="AD35" s="2253"/>
      <c r="AE35" s="2253"/>
      <c r="AF35" s="2253"/>
      <c r="AG35" s="2253"/>
      <c r="AH35" s="2253"/>
      <c r="AI35" s="2253"/>
      <c r="AJ35" s="2253"/>
      <c r="AK35" s="2253"/>
      <c r="AL35" s="2253"/>
      <c r="AM35" s="2253"/>
      <c r="AN35" s="2253"/>
      <c r="AO35" s="2253"/>
      <c r="AP35" s="2253"/>
      <c r="AQ35" s="2253"/>
      <c r="AY35" s="1156">
        <v>14</v>
      </c>
    </row>
    <row customHeight="1" ht="14.699999999999998">
      <c r="Q36" s="377"/>
      <c r="R36" s="377"/>
      <c r="S36" s="2128" t="s">
        <v>317</v>
      </c>
      <c r="T36" s="2128"/>
      <c r="U36" s="2128"/>
      <c r="V36" s="2128"/>
      <c r="W36" s="2128"/>
      <c r="X36" s="2128"/>
      <c r="Y36" s="2128"/>
      <c r="Z36" s="2128"/>
      <c r="AA36" s="2128"/>
      <c r="AB36" s="2128"/>
      <c r="AC36" s="2128"/>
      <c r="AD36" s="2128"/>
      <c r="AE36" s="2128"/>
      <c r="AF36" s="2128"/>
      <c r="AG36" s="2128"/>
      <c r="AH36" s="2128"/>
      <c r="AI36" s="2128"/>
      <c r="AJ36" s="2128"/>
      <c r="AK36" s="2128"/>
      <c r="AL36" s="2128"/>
      <c r="AM36" s="2128"/>
      <c r="AN36" s="2128"/>
      <c r="AO36" s="2128"/>
      <c r="AP36" s="2128"/>
      <c r="AQ36" s="2128"/>
      <c r="AR36" s="2128"/>
      <c r="AS36" s="2128" t="s">
        <v>318</v>
      </c>
      <c r="AY36" s="1156">
        <v>14</v>
      </c>
    </row>
    <row customHeight="1" ht="14.699999999999998">
      <c r="Q37" s="377"/>
      <c r="R37" s="377"/>
      <c r="S37" s="2274" t="s">
        <v>89</v>
      </c>
      <c r="T37" s="2210" t="s">
        <v>442</v>
      </c>
      <c r="U37" s="302"/>
      <c r="V37" s="2275" t="s">
        <v>443</v>
      </c>
      <c r="W37" s="2292"/>
      <c r="X37" s="2292"/>
      <c r="Y37" s="2292"/>
      <c r="Z37" s="2292"/>
      <c r="AA37" s="2292"/>
      <c r="AB37" s="2292"/>
      <c r="AC37" s="2276"/>
      <c r="AD37" s="2276"/>
      <c r="AE37" s="2277"/>
      <c r="AF37" s="2278" t="s">
        <v>444</v>
      </c>
      <c r="AG37" s="2275" t="s">
        <v>443</v>
      </c>
      <c r="AH37" s="2276"/>
      <c r="AI37" s="2276"/>
      <c r="AJ37" s="2276"/>
      <c r="AK37" s="2276"/>
      <c r="AL37" s="2276"/>
      <c r="AM37" s="2276"/>
      <c r="AN37" s="2276"/>
      <c r="AO37" s="2276"/>
      <c r="AP37" s="2277"/>
      <c r="AQ37" s="2278" t="s">
        <v>445</v>
      </c>
      <c r="AR37" s="2281" t="s">
        <v>446</v>
      </c>
      <c r="AS37" s="2128"/>
      <c r="AY37" s="1156">
        <v>14</v>
      </c>
    </row>
    <row customHeight="1" ht="19.95">
      <c r="Q38" s="377"/>
      <c r="R38" s="377"/>
      <c r="S38" s="2274"/>
      <c r="T38" s="2210"/>
      <c r="U38" s="1032"/>
      <c r="V38" s="2367" t="s">
        <v>551</v>
      </c>
      <c r="W38" s="2366" t="s">
        <v>552</v>
      </c>
      <c r="X38" s="2366"/>
      <c r="Y38" s="2366"/>
      <c r="Z38" s="2366" t="s">
        <v>553</v>
      </c>
      <c r="AA38" s="2366"/>
      <c r="AB38" s="2366"/>
      <c r="AC38" s="2295" t="s">
        <v>450</v>
      </c>
      <c r="AD38" s="2314"/>
      <c r="AE38" s="2315"/>
      <c r="AF38" s="2279"/>
      <c r="AG38" s="2367" t="s">
        <v>551</v>
      </c>
      <c r="AH38" s="2366" t="s">
        <v>552</v>
      </c>
      <c r="AI38" s="2366"/>
      <c r="AJ38" s="2366"/>
      <c r="AK38" s="2366" t="s">
        <v>553</v>
      </c>
      <c r="AL38" s="2366"/>
      <c r="AM38" s="2366"/>
      <c r="AN38" s="2295" t="s">
        <v>450</v>
      </c>
      <c r="AO38" s="2314"/>
      <c r="AP38" s="2315"/>
      <c r="AQ38" s="2279"/>
      <c r="AR38" s="2282"/>
      <c r="AS38" s="2128"/>
      <c r="AY38" s="1156">
        <v>19</v>
      </c>
    </row>
    <row s="1636" customFormat="1" customHeight="1" ht="19.95">
      <c r="A39" s="1367"/>
      <c r="B39" s="1367"/>
      <c r="C39" s="1367"/>
      <c r="D39" s="1367"/>
      <c r="E39" s="1367"/>
      <c r="F39" s="1367"/>
      <c r="G39" s="1367"/>
      <c r="H39" s="1367"/>
      <c r="I39" s="1367"/>
      <c r="J39" s="1367"/>
      <c r="K39" s="1367"/>
      <c r="L39" s="1952"/>
      <c r="M39" s="1363"/>
      <c r="N39" s="1363"/>
      <c r="O39" s="1363"/>
      <c r="P39" s="1966"/>
      <c r="Q39" s="377"/>
      <c r="R39" s="377"/>
      <c r="S39" s="2274"/>
      <c r="T39" s="2210"/>
      <c r="U39" s="1032"/>
      <c r="V39" s="2367"/>
      <c r="W39" s="2366" t="s">
        <v>554</v>
      </c>
      <c r="X39" s="2366" t="s">
        <v>555</v>
      </c>
      <c r="Y39" s="2366"/>
      <c r="Z39" s="2366" t="s">
        <v>556</v>
      </c>
      <c r="AA39" s="2366" t="s">
        <v>555</v>
      </c>
      <c r="AB39" s="2366"/>
      <c r="AC39" s="2296"/>
      <c r="AD39" s="2316"/>
      <c r="AE39" s="2317"/>
      <c r="AF39" s="2279"/>
      <c r="AG39" s="2367"/>
      <c r="AH39" s="2366" t="s">
        <v>554</v>
      </c>
      <c r="AI39" s="2366" t="s">
        <v>555</v>
      </c>
      <c r="AJ39" s="2366"/>
      <c r="AK39" s="2366" t="s">
        <v>556</v>
      </c>
      <c r="AL39" s="2366" t="s">
        <v>555</v>
      </c>
      <c r="AM39" s="2366"/>
      <c r="AN39" s="2296"/>
      <c r="AO39" s="2316"/>
      <c r="AP39" s="2317"/>
      <c r="AQ39" s="2279"/>
      <c r="AR39" s="2282"/>
      <c r="AS39" s="2128"/>
      <c r="AT39" s="1637"/>
      <c r="AU39" s="1637"/>
      <c r="AV39" s="1637"/>
      <c r="AW39" s="1637"/>
      <c r="AX39" s="1637"/>
      <c r="AY39" s="1632">
        <v>19</v>
      </c>
    </row>
    <row customHeight="1" ht="61.949999999999996">
      <c r="A40" s="1371"/>
      <c r="B40" s="1371" t="s">
        <v>143</v>
      </c>
      <c r="C40" s="1371" t="s">
        <v>144</v>
      </c>
      <c r="D40" s="1371" t="s">
        <v>145</v>
      </c>
      <c r="E40" s="1365" t="s">
        <v>451</v>
      </c>
      <c r="F40" s="1365" t="s">
        <v>452</v>
      </c>
      <c r="G40" s="1365" t="s">
        <v>453</v>
      </c>
      <c r="H40" s="1365"/>
      <c r="I40" s="1365" t="s">
        <v>509</v>
      </c>
      <c r="J40" s="1365" t="s">
        <v>456</v>
      </c>
      <c r="K40" s="1365" t="s">
        <v>510</v>
      </c>
      <c r="L40" s="1365" t="s">
        <v>432</v>
      </c>
      <c r="Q40" s="377"/>
      <c r="R40" s="377"/>
      <c r="S40" s="2274"/>
      <c r="T40" s="2210"/>
      <c r="U40" s="303"/>
      <c r="V40" s="2367"/>
      <c r="W40" s="2366"/>
      <c r="X40" s="1984" t="s">
        <v>557</v>
      </c>
      <c r="Y40" s="1984" t="s">
        <v>558</v>
      </c>
      <c r="Z40" s="2366"/>
      <c r="AA40" s="1984" t="s">
        <v>559</v>
      </c>
      <c r="AB40" s="1984" t="s">
        <v>560</v>
      </c>
      <c r="AC40" s="1490" t="s">
        <v>460</v>
      </c>
      <c r="AD40" s="2271" t="s">
        <v>461</v>
      </c>
      <c r="AE40" s="2272"/>
      <c r="AF40" s="2280"/>
      <c r="AG40" s="2367"/>
      <c r="AH40" s="2366"/>
      <c r="AI40" s="1984" t="s">
        <v>557</v>
      </c>
      <c r="AJ40" s="1984" t="s">
        <v>558</v>
      </c>
      <c r="AK40" s="2366"/>
      <c r="AL40" s="1984" t="s">
        <v>559</v>
      </c>
      <c r="AM40" s="1984" t="s">
        <v>560</v>
      </c>
      <c r="AN40" s="1490" t="s">
        <v>460</v>
      </c>
      <c r="AO40" s="2271" t="s">
        <v>461</v>
      </c>
      <c r="AP40" s="2272"/>
      <c r="AQ40" s="2280"/>
      <c r="AR40" s="2283"/>
      <c r="AS40" s="2128"/>
      <c r="AY40" s="1156">
        <v>59</v>
      </c>
    </row>
    <row s="1642" customFormat="1" customHeight="1" ht="11.25" hidden="1">
      <c r="A41" s="1371"/>
      <c r="B41" s="1371"/>
      <c r="C41" s="1371"/>
      <c r="D41" s="1371"/>
      <c r="E41" s="1371"/>
      <c r="F41" s="1371"/>
      <c r="G41" s="1371"/>
      <c r="H41" s="1371"/>
      <c r="I41" s="1371"/>
      <c r="J41" s="1371"/>
      <c r="K41" s="1371"/>
      <c r="L41" s="1365"/>
      <c r="M41" s="1363"/>
      <c r="N41" s="1363"/>
      <c r="O41" s="1363"/>
      <c r="P41" s="1247"/>
      <c r="Q41" s="1248"/>
      <c r="R41" s="1255">
        <v>1</v>
      </c>
      <c r="S41" s="1278" t="s">
        <v>118</v>
      </c>
      <c r="T41" s="1256" t="s">
        <v>103</v>
      </c>
      <c r="U41" s="1246" t="str">
        <f>OFFSET(U41,0,-1)</f>
        <v>2</v>
      </c>
      <c r="V41" s="1483">
        <f>OFFSET(V41,0,-1)+1</f>
        <v>3</v>
      </c>
      <c r="W41" s="1342"/>
      <c r="X41" s="1342"/>
      <c r="Y41" s="1342"/>
      <c r="Z41" s="1342"/>
      <c r="AA41" s="1342"/>
      <c r="AB41" s="1342"/>
      <c r="AC41" s="1483">
        <f>OFFSET(AC41,0,-1)+1</f>
        <v>1</v>
      </c>
      <c r="AD41" s="2273">
        <f>OFFSET(AD41,0,-1)+1</f>
        <v>2</v>
      </c>
      <c r="AE41" s="2273"/>
      <c r="AF41" s="1483">
        <f>OFFSET(AF41,0,-2)+1</f>
        <v>3</v>
      </c>
      <c r="AG41" s="1483">
        <f>OFFSET(AG41,0,-1)+1</f>
        <v>4</v>
      </c>
      <c r="AH41" s="1957"/>
      <c r="AI41" s="1957"/>
      <c r="AJ41" s="1957"/>
      <c r="AK41" s="1957"/>
      <c r="AL41" s="1957"/>
      <c r="AM41" s="1483">
        <f>OFFSET(AM41,0,-1)+1</f>
        <v>1</v>
      </c>
      <c r="AN41" s="1483">
        <f>OFFSET(AN41,0,-1)+1</f>
        <v>2</v>
      </c>
      <c r="AO41" s="2273">
        <f>OFFSET(AO41,0,-1)+1</f>
        <v>3</v>
      </c>
      <c r="AP41" s="2273"/>
      <c r="AQ41" s="1483">
        <f>OFFSET(AQ41,0,-2)+1</f>
        <v>4</v>
      </c>
      <c r="AR41" s="1246">
        <f>OFFSET(AR41,0,-1)</f>
        <v>4</v>
      </c>
      <c r="AS41" s="1483">
        <f>OFFSET(AS41,0,-1)+1</f>
        <v>5</v>
      </c>
      <c r="AT41" s="512"/>
      <c r="AU41" s="512"/>
      <c r="AV41" s="512"/>
      <c r="AW41" s="512"/>
      <c r="AX41" s="512"/>
      <c r="AY41" s="497">
        <v>0</v>
      </c>
    </row>
    <row customHeight="1" ht="24">
      <c r="A42" s="1364" t="s">
        <v>268</v>
      </c>
      <c r="B42" s="1364"/>
      <c r="C42" s="1364"/>
      <c r="D42" s="1364"/>
      <c r="E42" s="2259">
        <v>1</v>
      </c>
      <c r="F42" s="1364"/>
      <c r="G42" s="1364"/>
      <c r="H42" s="1364"/>
      <c r="I42" s="1364"/>
      <c r="J42" s="1364"/>
      <c r="K42" s="1364"/>
      <c r="L42" s="1365"/>
      <c r="M42" s="1366"/>
      <c r="N42" s="1366"/>
      <c r="O42" s="1366"/>
      <c r="P42" s="362"/>
      <c r="Q42" s="361"/>
      <c r="R42" s="356"/>
      <c r="S42" s="1494">
        <f>INDEX(PT_DIFFERENTIATION_NUM_NTAR,MATCH(A42,PT_DIFFERENTIATION_NTAR_ID,0))</f>
        <v>0</v>
      </c>
      <c r="T42" s="299" t="s">
        <v>131</v>
      </c>
      <c r="U42" s="301"/>
      <c r="V42" s="2243"/>
      <c r="W42" s="2244"/>
      <c r="X42" s="2244"/>
      <c r="Y42" s="2244"/>
      <c r="Z42" s="2244"/>
      <c r="AA42" s="2244"/>
      <c r="AB42" s="2244"/>
      <c r="AC42" s="2244"/>
      <c r="AD42" s="2244"/>
      <c r="AE42" s="2244"/>
      <c r="AF42" s="2245"/>
      <c r="AG42" s="2243" t="str">
        <f>INDEX(PT_DIFFERENTIATION_NTAR,MATCH(A42,PT_DIFFERENTIATION_NTAR_ID,0))</f>
        <v/>
      </c>
      <c r="AH42" s="2244"/>
      <c r="AI42" s="2244"/>
      <c r="AJ42" s="2244"/>
      <c r="AK42" s="2244"/>
      <c r="AL42" s="2244"/>
      <c r="AM42" s="2244"/>
      <c r="AN42" s="2244"/>
      <c r="AO42" s="2244"/>
      <c r="AP42" s="2244"/>
      <c r="AQ42" s="2244"/>
      <c r="AR42" s="2245"/>
      <c r="AS42" s="1259"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U42" s="501"/>
      <c r="AV42" s="501" t="str">
        <f>IF(T42="","",T42)</f>
        <v>Наименование тарифа</v>
      </c>
      <c r="AW42" s="501"/>
      <c r="AX42" s="501"/>
      <c r="AY42" s="1156">
        <v>23</v>
      </c>
    </row>
    <row customHeight="1" ht="24">
      <c r="A43" s="1364" t="s">
        <v>268</v>
      </c>
      <c r="B43" s="1364" t="s">
        <v>269</v>
      </c>
      <c r="C43" s="1364"/>
      <c r="D43" s="1364"/>
      <c r="E43" s="2260"/>
      <c r="F43" s="2259">
        <v>1</v>
      </c>
      <c r="G43" s="1364"/>
      <c r="H43" s="1364"/>
      <c r="I43" s="1364"/>
      <c r="J43" s="1364"/>
      <c r="K43" s="1364"/>
      <c r="L43" s="1365"/>
      <c r="M43" s="1366"/>
      <c r="N43" s="1366"/>
      <c r="O43" s="1366"/>
      <c r="P43" s="1488"/>
      <c r="Q43" s="353"/>
      <c r="R43" s="354"/>
      <c r="S43" s="1494" t="str">
        <f>INDEX(PT_DIFFERENTIATION_NUM_TER,MATCH(B43,PT_DIFFERENTIATION_TER_ID,0))</f>
        <v>.</v>
      </c>
      <c r="T43" s="309" t="s">
        <v>414</v>
      </c>
      <c r="U43" s="301"/>
      <c r="V43" s="2243"/>
      <c r="W43" s="2244"/>
      <c r="X43" s="2244"/>
      <c r="Y43" s="2244"/>
      <c r="Z43" s="2244"/>
      <c r="AA43" s="2244"/>
      <c r="AB43" s="2244"/>
      <c r="AC43" s="2244"/>
      <c r="AD43" s="2244"/>
      <c r="AE43" s="2244"/>
      <c r="AF43" s="2245"/>
      <c r="AG43" s="2243" t="str">
        <f>INDEX(PT_DIFFERENTIATION_TER,MATCH(B43,PT_DIFFERENTIATION_TER_ID,0))</f>
        <v/>
      </c>
      <c r="AH43" s="2244"/>
      <c r="AI43" s="2244"/>
      <c r="AJ43" s="2244"/>
      <c r="AK43" s="2244"/>
      <c r="AL43" s="2244"/>
      <c r="AM43" s="2244"/>
      <c r="AN43" s="2244"/>
      <c r="AO43" s="2244"/>
      <c r="AP43" s="2244"/>
      <c r="AQ43" s="2244"/>
      <c r="AR43" s="2245"/>
      <c r="AS43" s="1259" t="s">
        <v>415</v>
      </c>
      <c r="AU43" s="501"/>
      <c r="AV43" s="501" t="str">
        <f>IF(T43="","",T43)</f>
        <v>Территория действия тарифа</v>
      </c>
      <c r="AW43" s="501"/>
      <c r="AX43" s="501"/>
      <c r="AY43" s="1156">
        <v>23</v>
      </c>
    </row>
    <row customHeight="1" ht="24">
      <c r="A44" s="1364" t="s">
        <v>268</v>
      </c>
      <c r="B44" s="1364" t="s">
        <v>269</v>
      </c>
      <c r="C44" s="1364" t="s">
        <v>270</v>
      </c>
      <c r="D44" s="1364"/>
      <c r="E44" s="2260"/>
      <c r="F44" s="2260"/>
      <c r="G44" s="2259">
        <v>1</v>
      </c>
      <c r="H44" s="1364"/>
      <c r="I44" s="1364"/>
      <c r="J44" s="1364"/>
      <c r="K44" s="1364"/>
      <c r="L44" s="1365"/>
      <c r="M44" s="1366"/>
      <c r="N44" s="1366"/>
      <c r="O44" s="1366"/>
      <c r="P44" s="355"/>
      <c r="Q44" s="353"/>
      <c r="R44" s="354"/>
      <c r="S44" s="1494" t="str">
        <f>INDEX(PT_DIFFERENTIATION_NUM_CS,MATCH(C44,PT_DIFFERENTIATION_CS_ID,0))</f>
        <v>..</v>
      </c>
      <c r="T44" s="310" t="s">
        <v>549</v>
      </c>
      <c r="U44" s="301"/>
      <c r="V44" s="2243"/>
      <c r="W44" s="2244"/>
      <c r="X44" s="2244"/>
      <c r="Y44" s="2244"/>
      <c r="Z44" s="2244"/>
      <c r="AA44" s="2244"/>
      <c r="AB44" s="2244"/>
      <c r="AC44" s="2244"/>
      <c r="AD44" s="2244"/>
      <c r="AE44" s="2244"/>
      <c r="AF44" s="2245"/>
      <c r="AG44" s="2243" t="str">
        <f>INDEX(PT_DIFFERENTIATION_CS,MATCH(C44,PT_DIFFERENTIATION_CS_ID,0))</f>
        <v/>
      </c>
      <c r="AH44" s="2244"/>
      <c r="AI44" s="2244"/>
      <c r="AJ44" s="2244"/>
      <c r="AK44" s="2244"/>
      <c r="AL44" s="2244"/>
      <c r="AM44" s="2244"/>
      <c r="AN44" s="2244"/>
      <c r="AO44" s="2244"/>
      <c r="AP44" s="2244"/>
      <c r="AQ44" s="2244"/>
      <c r="AR44" s="2245"/>
      <c r="AS44" s="1259" t="s">
        <v>550</v>
      </c>
      <c r="AU44" s="501"/>
      <c r="AV44" s="501" t="str">
        <f>IF(T44="","",T44)</f>
        <v>Наименование централизованной системы горячего водоснабжения</v>
      </c>
      <c r="AW44" s="501"/>
      <c r="AX44" s="501"/>
      <c r="AY44" s="1156">
        <v>23</v>
      </c>
    </row>
    <row customHeight="1" ht="24">
      <c r="A45" s="1364" t="s">
        <v>268</v>
      </c>
      <c r="B45" s="1364" t="s">
        <v>269</v>
      </c>
      <c r="C45" s="1364" t="s">
        <v>270</v>
      </c>
      <c r="D45" s="1364" t="s">
        <v>561</v>
      </c>
      <c r="E45" s="2260"/>
      <c r="F45" s="2260"/>
      <c r="G45" s="2260"/>
      <c r="H45" s="2260"/>
      <c r="I45" s="2257" t="str">
        <f>S44&amp;".1"</f>
        <v>...1</v>
      </c>
      <c r="J45" s="1364"/>
      <c r="K45" s="1364"/>
      <c r="L45" s="1365"/>
      <c r="P45" s="2258">
        <v>1</v>
      </c>
      <c r="Q45" s="1482"/>
      <c r="R45" s="357"/>
      <c r="S45" s="1494" t="str">
        <f>$I45</f>
        <v>...1</v>
      </c>
      <c r="T45" s="286" t="s">
        <v>502</v>
      </c>
      <c r="U45" s="301"/>
      <c r="V45" s="2351"/>
      <c r="W45" s="2352"/>
      <c r="X45" s="2352"/>
      <c r="Y45" s="2352"/>
      <c r="Z45" s="2352"/>
      <c r="AA45" s="2352"/>
      <c r="AB45" s="2352"/>
      <c r="AC45" s="2352"/>
      <c r="AD45" s="2352"/>
      <c r="AE45" s="2352"/>
      <c r="AF45" s="2353"/>
      <c r="AG45" s="2354"/>
      <c r="AH45" s="2355"/>
      <c r="AI45" s="2355"/>
      <c r="AJ45" s="2355"/>
      <c r="AK45" s="2355"/>
      <c r="AL45" s="2355"/>
      <c r="AM45" s="2355"/>
      <c r="AN45" s="2355"/>
      <c r="AO45" s="2355"/>
      <c r="AP45" s="2355"/>
      <c r="AQ45" s="2355"/>
      <c r="AR45" s="2356"/>
      <c r="AS45" s="1259" t="s">
        <v>503</v>
      </c>
      <c r="AU45" s="501"/>
      <c r="AV45" s="501" t="str">
        <f>IF(T45="","",T45)</f>
        <v>Наименование признака дифференциации</v>
      </c>
      <c r="AW45" s="501"/>
      <c r="AX45" s="501"/>
      <c r="AY45" s="1156">
        <v>23</v>
      </c>
    </row>
    <row customHeight="1" ht="24">
      <c r="A46" s="1364" t="s">
        <v>268</v>
      </c>
      <c r="B46" s="1364" t="s">
        <v>269</v>
      </c>
      <c r="C46" s="1364" t="s">
        <v>270</v>
      </c>
      <c r="D46" s="1364" t="s">
        <v>561</v>
      </c>
      <c r="E46" s="2260"/>
      <c r="F46" s="2260"/>
      <c r="G46" s="2260"/>
      <c r="H46" s="2260"/>
      <c r="I46" s="2287"/>
      <c r="J46" s="2257" t="str">
        <f>I45&amp;".1"</f>
        <v>...1.1</v>
      </c>
      <c r="K46" s="1364"/>
      <c r="L46" s="1365" t="s">
        <v>423</v>
      </c>
      <c r="P46" s="2258"/>
      <c r="Q46" s="2258">
        <v>1</v>
      </c>
      <c r="R46" s="358"/>
      <c r="S46" s="1494" t="str">
        <f>$J46</f>
        <v>...1.1</v>
      </c>
      <c r="T46" s="287" t="s">
        <v>424</v>
      </c>
      <c r="U46" s="301"/>
      <c r="V46" s="2246"/>
      <c r="W46" s="2247"/>
      <c r="X46" s="2247"/>
      <c r="Y46" s="2247"/>
      <c r="Z46" s="2247"/>
      <c r="AA46" s="2247"/>
      <c r="AB46" s="2247"/>
      <c r="AC46" s="2247"/>
      <c r="AD46" s="2247"/>
      <c r="AE46" s="2247"/>
      <c r="AF46" s="2248"/>
      <c r="AG46" s="2246"/>
      <c r="AH46" s="2247"/>
      <c r="AI46" s="2247"/>
      <c r="AJ46" s="2247"/>
      <c r="AK46" s="2247"/>
      <c r="AL46" s="2247"/>
      <c r="AM46" s="2247"/>
      <c r="AN46" s="2247"/>
      <c r="AO46" s="2247"/>
      <c r="AP46" s="2247"/>
      <c r="AQ46" s="2247"/>
      <c r="AR46" s="2248"/>
      <c r="AS46" s="1308" t="s">
        <v>504</v>
      </c>
      <c r="AU46" s="501"/>
      <c r="AV46" s="501" t="str">
        <f>IF(T46="","",T46)</f>
        <v>Группа потребителей</v>
      </c>
      <c r="AW46" s="501"/>
      <c r="AX46" s="501"/>
      <c r="AY46" s="1156">
        <v>23</v>
      </c>
    </row>
    <row customHeight="1" ht="24">
      <c r="A47" s="1364" t="s">
        <v>268</v>
      </c>
      <c r="B47" s="1364" t="s">
        <v>269</v>
      </c>
      <c r="C47" s="1364" t="s">
        <v>270</v>
      </c>
      <c r="D47" s="1364" t="s">
        <v>561</v>
      </c>
      <c r="E47" s="2260"/>
      <c r="F47" s="2260"/>
      <c r="G47" s="2260"/>
      <c r="H47" s="2260"/>
      <c r="I47" s="2287"/>
      <c r="J47" s="2287"/>
      <c r="K47" s="2257" t="str">
        <f>J46&amp;".1"</f>
        <v>...1.1.1</v>
      </c>
      <c r="L47" s="1365"/>
      <c r="P47" s="2258"/>
      <c r="Q47" s="2258"/>
      <c r="R47" s="358">
        <v>1</v>
      </c>
      <c r="S47" s="1494" t="str">
        <f>$K47</f>
        <v>...1.1.1</v>
      </c>
      <c r="T47" s="1438"/>
      <c r="U47" s="301"/>
      <c r="V47" s="752"/>
      <c r="W47" s="752"/>
      <c r="X47" s="752"/>
      <c r="Y47" s="752"/>
      <c r="Z47" s="752"/>
      <c r="AA47" s="752"/>
      <c r="AB47" s="752"/>
      <c r="AC47" s="2268"/>
      <c r="AD47" s="2269" t="s">
        <v>61</v>
      </c>
      <c r="AE47" s="2268"/>
      <c r="AF47" s="2269" t="s">
        <v>61</v>
      </c>
      <c r="AG47" s="752"/>
      <c r="AH47" s="752"/>
      <c r="AI47" s="752"/>
      <c r="AJ47" s="752"/>
      <c r="AK47" s="752"/>
      <c r="AL47" s="752"/>
      <c r="AM47" s="752"/>
      <c r="AN47" s="2266"/>
      <c r="AO47" s="2108" t="s">
        <v>61</v>
      </c>
      <c r="AP47" s="2288"/>
      <c r="AQ47" s="2108" t="s">
        <v>19</v>
      </c>
      <c r="AR47" s="1439"/>
      <c r="AS47" s="2350"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T47" s="512">
        <f>STRCHECKDATE(V48:AR48)</f>
      </c>
      <c r="AU47" s="501"/>
      <c r="AV47" s="501" t="str">
        <f>IF(T47="","",T47)</f>
        <v/>
      </c>
      <c r="AW47" s="501"/>
      <c r="AX47" s="501"/>
      <c r="AY47" s="1156">
        <v>23</v>
      </c>
    </row>
    <row customHeight="1" ht="0">
      <c r="A48" s="1364" t="s">
        <v>268</v>
      </c>
      <c r="B48" s="1364" t="s">
        <v>269</v>
      </c>
      <c r="C48" s="1364" t="s">
        <v>270</v>
      </c>
      <c r="D48" s="1364" t="s">
        <v>561</v>
      </c>
      <c r="E48" s="2260"/>
      <c r="F48" s="2260"/>
      <c r="G48" s="2260"/>
      <c r="H48" s="2260"/>
      <c r="I48" s="2287"/>
      <c r="J48" s="2287"/>
      <c r="K48" s="2257"/>
      <c r="L48" s="1365"/>
      <c r="P48" s="2258"/>
      <c r="Q48" s="2258"/>
      <c r="R48" s="358"/>
      <c r="S48" s="1491"/>
      <c r="T48" s="301"/>
      <c r="U48" s="301"/>
      <c r="V48" s="1361"/>
      <c r="W48" s="1361"/>
      <c r="X48" s="1361"/>
      <c r="Y48" s="1361"/>
      <c r="Z48" s="1361"/>
      <c r="AA48" s="1361"/>
      <c r="AB48" s="1361"/>
      <c r="AC48" s="2269"/>
      <c r="AD48" s="2269"/>
      <c r="AE48" s="2269"/>
      <c r="AF48" s="2269"/>
      <c r="AG48" s="326"/>
      <c r="AH48" s="326"/>
      <c r="AI48" s="326"/>
      <c r="AJ48" s="326"/>
      <c r="AK48" s="326"/>
      <c r="AL48" s="326"/>
      <c r="AM48" s="326"/>
      <c r="AN48" s="2267"/>
      <c r="AO48" s="2108"/>
      <c r="AP48" s="2289"/>
      <c r="AQ48" s="2108"/>
      <c r="AR48" s="1440"/>
      <c r="AS48" s="2350"/>
      <c r="AU48" s="501"/>
      <c r="AV48" s="501" t="str">
        <f>IF(T48="","",T48)</f>
        <v/>
      </c>
      <c r="AW48" s="501"/>
      <c r="AX48" s="501"/>
      <c r="AY48" s="1156">
        <v>0</v>
      </c>
    </row>
    <row customHeight="1" ht="21">
      <c r="A49" s="1364" t="s">
        <v>268</v>
      </c>
      <c r="B49" s="1364" t="s">
        <v>269</v>
      </c>
      <c r="C49" s="1364" t="s">
        <v>270</v>
      </c>
      <c r="D49" s="1364" t="s">
        <v>561</v>
      </c>
      <c r="E49" s="2260"/>
      <c r="F49" s="2260"/>
      <c r="G49" s="2260"/>
      <c r="H49" s="2260"/>
      <c r="I49" s="2287"/>
      <c r="J49" s="2257"/>
      <c r="K49" s="1364"/>
      <c r="L49" s="1365"/>
      <c r="P49" s="2258"/>
      <c r="Q49" s="2258"/>
      <c r="R49" s="357"/>
      <c r="S49" s="1279"/>
      <c r="T49" s="288" t="s">
        <v>505</v>
      </c>
      <c r="U49" s="368"/>
      <c r="V49" s="368"/>
      <c r="W49" s="601"/>
      <c r="X49" s="601"/>
      <c r="Y49" s="601"/>
      <c r="Z49" s="601"/>
      <c r="AA49" s="601"/>
      <c r="AB49" s="601"/>
      <c r="AC49" s="368"/>
      <c r="AD49" s="368"/>
      <c r="AE49" s="368"/>
      <c r="AF49" s="368"/>
      <c r="AG49" s="368"/>
      <c r="AH49" s="601"/>
      <c r="AI49" s="601"/>
      <c r="AJ49" s="601"/>
      <c r="AK49" s="601"/>
      <c r="AL49" s="601"/>
      <c r="AM49" s="368"/>
      <c r="AN49" s="368"/>
      <c r="AO49" s="368"/>
      <c r="AP49" s="368"/>
      <c r="AQ49" s="368"/>
      <c r="AR49" s="368"/>
      <c r="AS49" s="1259" t="s">
        <v>506</v>
      </c>
      <c r="AU49" s="501"/>
      <c r="AV49" s="501" t="str">
        <f>IF(T49="","",T49)</f>
        <v>Добавить значение признака дифференциации</v>
      </c>
      <c r="AW49" s="501"/>
      <c r="AX49" s="501"/>
      <c r="AY49" s="1156">
        <v>20</v>
      </c>
    </row>
    <row customHeight="1" ht="22.049999999999997">
      <c r="A50" s="1364" t="s">
        <v>268</v>
      </c>
      <c r="B50" s="1364" t="s">
        <v>269</v>
      </c>
      <c r="C50" s="1364" t="s">
        <v>270</v>
      </c>
      <c r="D50" s="1364" t="s">
        <v>561</v>
      </c>
      <c r="E50" s="2260"/>
      <c r="F50" s="2260"/>
      <c r="G50" s="2260"/>
      <c r="H50" s="2260"/>
      <c r="I50" s="2257"/>
      <c r="J50" s="1364"/>
      <c r="K50" s="1364"/>
      <c r="L50" s="1365"/>
      <c r="P50" s="2258"/>
      <c r="Q50" s="1482"/>
      <c r="R50" s="357"/>
      <c r="S50" s="1279"/>
      <c r="T50" s="366" t="s">
        <v>429</v>
      </c>
      <c r="U50" s="368"/>
      <c r="V50" s="368"/>
      <c r="W50" s="601"/>
      <c r="X50" s="601"/>
      <c r="Y50" s="601"/>
      <c r="Z50" s="601"/>
      <c r="AA50" s="601"/>
      <c r="AB50" s="601"/>
      <c r="AC50" s="368"/>
      <c r="AD50" s="368"/>
      <c r="AE50" s="368"/>
      <c r="AF50" s="367"/>
      <c r="AG50" s="368"/>
      <c r="AH50" s="601"/>
      <c r="AI50" s="601"/>
      <c r="AJ50" s="601"/>
      <c r="AK50" s="601"/>
      <c r="AL50" s="601"/>
      <c r="AM50" s="368"/>
      <c r="AN50" s="368"/>
      <c r="AO50" s="368"/>
      <c r="AP50" s="368"/>
      <c r="AQ50" s="367"/>
      <c r="AR50" s="368"/>
      <c r="AS50" s="1441"/>
      <c r="AU50" s="501"/>
      <c r="AV50" s="501" t="str">
        <f>IF(T50="","",T50)</f>
        <v>Добавить группу потребителей</v>
      </c>
      <c r="AW50" s="501"/>
      <c r="AX50" s="501"/>
      <c r="AY50" s="1156">
        <v>21</v>
      </c>
    </row>
    <row customHeight="1" ht="22.049999999999997">
      <c r="A51" s="1364" t="s">
        <v>268</v>
      </c>
      <c r="B51" s="1364" t="s">
        <v>269</v>
      </c>
      <c r="C51" s="1364" t="s">
        <v>270</v>
      </c>
      <c r="D51" s="1364" t="s">
        <v>561</v>
      </c>
      <c r="E51" s="2260"/>
      <c r="F51" s="2260"/>
      <c r="G51" s="2260"/>
      <c r="H51" s="2259"/>
      <c r="I51" s="1364"/>
      <c r="J51" s="1364"/>
      <c r="K51" s="1364"/>
      <c r="L51" s="1365"/>
      <c r="M51" s="1366"/>
      <c r="N51" s="1366"/>
      <c r="O51" s="538"/>
      <c r="P51" s="361"/>
      <c r="Q51" s="376"/>
      <c r="R51" s="356"/>
      <c r="S51" s="1279"/>
      <c r="T51" s="373" t="s">
        <v>507</v>
      </c>
      <c r="U51" s="368"/>
      <c r="V51" s="368"/>
      <c r="W51" s="601"/>
      <c r="X51" s="601"/>
      <c r="Y51" s="601"/>
      <c r="Z51" s="601"/>
      <c r="AA51" s="601"/>
      <c r="AB51" s="601"/>
      <c r="AC51" s="368"/>
      <c r="AD51" s="368"/>
      <c r="AE51" s="368"/>
      <c r="AF51" s="367"/>
      <c r="AG51" s="368"/>
      <c r="AH51" s="601"/>
      <c r="AI51" s="601"/>
      <c r="AJ51" s="601"/>
      <c r="AK51" s="601"/>
      <c r="AL51" s="601"/>
      <c r="AM51" s="368"/>
      <c r="AN51" s="368"/>
      <c r="AO51" s="368"/>
      <c r="AP51" s="368"/>
      <c r="AQ51" s="367"/>
      <c r="AR51" s="368"/>
      <c r="AS51" s="304"/>
      <c r="AU51" s="501"/>
      <c r="AV51" s="501" t="str">
        <f>IF(T51="","",T51)</f>
        <v>Добавить наименование признака дифференциации</v>
      </c>
      <c r="AW51" s="501"/>
      <c r="AX51" s="501"/>
      <c r="AY51" s="1156">
        <v>21</v>
      </c>
    </row>
    <row s="1643" customFormat="1" customHeight="1" ht="0">
      <c r="A52" s="1344" t="s">
        <v>268</v>
      </c>
      <c r="B52" s="1344" t="s">
        <v>269</v>
      </c>
      <c r="C52" s="1315"/>
      <c r="D52" s="1315"/>
      <c r="E52" s="2260"/>
      <c r="F52" s="2259"/>
      <c r="G52" s="1315"/>
      <c r="H52" s="1315"/>
      <c r="I52" s="1315"/>
      <c r="J52" s="1315"/>
      <c r="K52" s="1315"/>
      <c r="L52" s="1495"/>
      <c r="M52" s="1322"/>
      <c r="N52" s="1322"/>
      <c r="P52" s="1317"/>
      <c r="Q52" s="1318"/>
      <c r="R52" s="1317"/>
      <c r="S52" s="1323"/>
      <c r="T52" s="1326" t="s">
        <v>177</v>
      </c>
      <c r="U52" s="1325"/>
      <c r="V52" s="1325"/>
      <c r="W52" s="1325"/>
      <c r="X52" s="1325"/>
      <c r="Y52" s="1325"/>
      <c r="Z52" s="1325"/>
      <c r="AA52" s="1325"/>
      <c r="AB52" s="1325"/>
      <c r="AC52" s="1325"/>
      <c r="AD52" s="1325"/>
      <c r="AE52" s="1325"/>
      <c r="AF52" s="1325"/>
      <c r="AG52" s="1325"/>
      <c r="AH52" s="1325"/>
      <c r="AI52" s="1325"/>
      <c r="AJ52" s="1325"/>
      <c r="AK52" s="1325"/>
      <c r="AL52" s="1325"/>
      <c r="AM52" s="1325"/>
      <c r="AN52" s="1325"/>
      <c r="AO52" s="1325"/>
      <c r="AP52" s="1325"/>
      <c r="AQ52" s="1325"/>
      <c r="AR52" s="1325"/>
      <c r="AS52" s="1325"/>
      <c r="AU52" s="790"/>
      <c r="AV52" s="790" t="str">
        <f>IF(T52="","",T52)</f>
        <v>Добавить централизованную систему для дифференциации</v>
      </c>
      <c r="AW52" s="790"/>
      <c r="AX52" s="790"/>
      <c r="AY52" s="519">
        <v>0</v>
      </c>
    </row>
    <row s="1643" customFormat="1" customHeight="1" ht="0">
      <c r="A53" s="1344" t="s">
        <v>268</v>
      </c>
      <c r="B53" s="1344"/>
      <c r="C53" s="1344"/>
      <c r="D53" s="1344"/>
      <c r="E53" s="2259"/>
      <c r="F53" s="1344"/>
      <c r="G53" s="1344"/>
      <c r="H53" s="1344"/>
      <c r="I53" s="1344"/>
      <c r="J53" s="1344"/>
      <c r="K53" s="1344"/>
      <c r="L53" s="1347"/>
      <c r="M53" s="1322"/>
      <c r="N53" s="1322"/>
      <c r="O53" s="519"/>
      <c r="P53" s="381"/>
      <c r="Q53" s="1345"/>
      <c r="R53" s="381"/>
      <c r="S53" s="1323"/>
      <c r="T53" s="1326" t="s">
        <v>178</v>
      </c>
      <c r="U53" s="1325"/>
      <c r="V53" s="1325"/>
      <c r="W53" s="1325"/>
      <c r="X53" s="1325"/>
      <c r="Y53" s="1325"/>
      <c r="Z53" s="1325"/>
      <c r="AA53" s="1325"/>
      <c r="AB53" s="1325"/>
      <c r="AC53" s="1325"/>
      <c r="AD53" s="1325"/>
      <c r="AE53" s="1325"/>
      <c r="AF53" s="1325"/>
      <c r="AG53" s="1325"/>
      <c r="AH53" s="1325"/>
      <c r="AI53" s="1325"/>
      <c r="AJ53" s="1325"/>
      <c r="AK53" s="1325"/>
      <c r="AL53" s="1325"/>
      <c r="AM53" s="1325"/>
      <c r="AN53" s="1325"/>
      <c r="AO53" s="1325"/>
      <c r="AP53" s="1325"/>
      <c r="AQ53" s="1325"/>
      <c r="AR53" s="1325"/>
      <c r="AS53" s="1325"/>
      <c r="AU53" s="501"/>
      <c r="AV53" s="501" t="str">
        <f>IF(T53="","",T53)</f>
        <v>Добавить территорию для дифференциации</v>
      </c>
      <c r="AW53" s="501"/>
      <c r="AX53" s="501"/>
      <c r="AY53" s="512">
        <v>0</v>
      </c>
    </row>
    <row s="1643" customFormat="1" customHeight="1" ht="0">
      <c r="A54" s="1315"/>
      <c r="B54" s="1315"/>
      <c r="C54" s="1315"/>
      <c r="D54" s="1315"/>
      <c r="E54" s="1344"/>
      <c r="F54" s="1315"/>
      <c r="G54" s="1315"/>
      <c r="H54" s="1315"/>
      <c r="I54" s="1315"/>
      <c r="J54" s="1315"/>
      <c r="K54" s="1315"/>
      <c r="L54" s="1495"/>
      <c r="M54" s="1322"/>
      <c r="N54" s="1322"/>
      <c r="P54" s="1317"/>
      <c r="Q54" s="1318"/>
      <c r="R54" s="1317"/>
      <c r="S54" s="1323"/>
      <c r="T54" s="1326" t="s">
        <v>184</v>
      </c>
      <c r="U54" s="1325"/>
      <c r="V54" s="1325"/>
      <c r="W54" s="1325"/>
      <c r="X54" s="1325"/>
      <c r="Y54" s="1325"/>
      <c r="Z54" s="1325"/>
      <c r="AA54" s="1325"/>
      <c r="AB54" s="1325"/>
      <c r="AC54" s="1325"/>
      <c r="AD54" s="1325"/>
      <c r="AE54" s="1325"/>
      <c r="AF54" s="1325"/>
      <c r="AG54" s="1325"/>
      <c r="AH54" s="1325"/>
      <c r="AI54" s="1325"/>
      <c r="AJ54" s="1325"/>
      <c r="AK54" s="1325"/>
      <c r="AL54" s="1325"/>
      <c r="AM54" s="1325"/>
      <c r="AN54" s="1325"/>
      <c r="AO54" s="1325"/>
      <c r="AP54" s="1325"/>
      <c r="AQ54" s="1325"/>
      <c r="AR54" s="1325"/>
      <c r="AS54" s="1325"/>
      <c r="AU54" s="790"/>
      <c r="AV54" s="790" t="str">
        <f>IF(T54="","",T54)</f>
        <v>Добавить наименование тарифа</v>
      </c>
      <c r="AW54" s="790"/>
      <c r="AX54" s="790"/>
      <c r="AY54" s="519">
        <v>0</v>
      </c>
    </row>
    <row customHeight="1" ht="11.549999999999999">
      <c r="M55" s="1161"/>
      <c r="N55" s="1161"/>
      <c r="O55" s="538"/>
      <c r="P55" s="1156"/>
      <c r="Q55" s="1156"/>
      <c r="R55" s="1156"/>
      <c r="S55" s="1156"/>
      <c r="AT55" s="1156"/>
      <c r="AU55" s="1156"/>
      <c r="AV55" s="1156"/>
      <c r="AW55" s="1156"/>
      <c r="AX55" s="1156"/>
      <c r="AY55" s="1156">
        <v>11</v>
      </c>
    </row>
    <row customHeight="1" ht="14.699999999999998">
      <c r="O56" s="538"/>
      <c r="S56" s="1254"/>
      <c r="T56" s="2286"/>
      <c r="U56" s="2286"/>
      <c r="V56" s="2286"/>
      <c r="W56" s="2286"/>
      <c r="X56" s="2286"/>
      <c r="Y56" s="2286"/>
      <c r="Z56" s="2286"/>
      <c r="AA56" s="2286"/>
      <c r="AB56" s="2286"/>
      <c r="AC56" s="2286"/>
      <c r="AD56" s="2286"/>
      <c r="AE56" s="2286"/>
      <c r="AF56" s="2286"/>
      <c r="AG56" s="2286"/>
      <c r="AH56" s="2286"/>
      <c r="AI56" s="2286"/>
      <c r="AJ56" s="2286"/>
      <c r="AK56" s="2286"/>
      <c r="AL56" s="2286"/>
      <c r="AM56" s="2286"/>
      <c r="AN56" s="2286"/>
      <c r="AO56" s="2286"/>
      <c r="AP56" s="2286"/>
      <c r="AQ56" s="2286"/>
      <c r="AR56" s="2286"/>
      <c r="AS56" s="2286"/>
      <c r="AY56" s="1156">
        <v>14</v>
      </c>
    </row>
    <row customHeight="1" ht="14.699999999999998">
      <c r="O57" s="538"/>
      <c r="AY57" s="1156">
        <v>14</v>
      </c>
    </row>
    <row customHeight="1" ht="14.699999999999998">
      <c r="O58" s="538"/>
      <c r="S58" s="1254"/>
      <c r="T58" s="2286"/>
      <c r="U58" s="2286"/>
      <c r="V58" s="2286"/>
      <c r="W58" s="2286"/>
      <c r="X58" s="2286"/>
      <c r="Y58" s="2286"/>
      <c r="Z58" s="2286"/>
      <c r="AA58" s="2286"/>
      <c r="AB58" s="2286"/>
      <c r="AC58" s="2286"/>
      <c r="AD58" s="2286"/>
      <c r="AE58" s="2286"/>
      <c r="AF58" s="2286"/>
      <c r="AG58" s="2286"/>
      <c r="AH58" s="2286"/>
      <c r="AI58" s="2286"/>
      <c r="AJ58" s="2286"/>
      <c r="AK58" s="2286"/>
      <c r="AL58" s="2286"/>
      <c r="AM58" s="2286"/>
      <c r="AN58" s="2286"/>
      <c r="AO58" s="2286"/>
      <c r="AP58" s="2286"/>
      <c r="AQ58" s="2286"/>
      <c r="AR58" s="2286"/>
      <c r="AS58" s="2286"/>
      <c r="AY58" s="1156">
        <v>14</v>
      </c>
    </row>
    <row customHeight="1" ht="22.5" hidden="1">
      <c r="A59" s="1161" t="s">
        <v>83</v>
      </c>
      <c r="B59" s="1161">
        <v>0</v>
      </c>
      <c r="C59" s="1161">
        <v>0</v>
      </c>
      <c r="D59" s="1161">
        <v>0</v>
      </c>
      <c r="E59" s="1161">
        <v>0</v>
      </c>
      <c r="F59" s="1161">
        <v>0</v>
      </c>
      <c r="G59" s="1161">
        <v>0</v>
      </c>
      <c r="H59" s="1161">
        <v>0</v>
      </c>
      <c r="I59" s="1161">
        <v>0</v>
      </c>
      <c r="J59" s="1161">
        <v>0</v>
      </c>
      <c r="K59" s="1161">
        <v>0</v>
      </c>
      <c r="L59" s="1479">
        <v>0</v>
      </c>
      <c r="M59" s="1363">
        <v>0</v>
      </c>
      <c r="N59" s="1363">
        <v>0</v>
      </c>
      <c r="O59" s="1363">
        <v>0</v>
      </c>
      <c r="P59" s="1474">
        <v>3</v>
      </c>
      <c r="Q59" s="345">
        <v>3</v>
      </c>
      <c r="R59" s="345">
        <v>3</v>
      </c>
      <c r="S59" s="582">
        <v>12</v>
      </c>
      <c r="T59" s="1156">
        <v>35</v>
      </c>
      <c r="U59" s="1156">
        <v>0</v>
      </c>
      <c r="V59" s="1156">
        <v>0</v>
      </c>
      <c r="W59" s="1632">
        <v>0</v>
      </c>
      <c r="X59" s="1632">
        <v>0</v>
      </c>
      <c r="Y59" s="1632">
        <v>0</v>
      </c>
      <c r="Z59" s="1632">
        <v>0</v>
      </c>
      <c r="AA59" s="1632">
        <v>0</v>
      </c>
      <c r="AB59" s="1632">
        <v>0</v>
      </c>
      <c r="AC59" s="1156">
        <v>0</v>
      </c>
      <c r="AD59" s="1156">
        <v>0</v>
      </c>
      <c r="AE59" s="1156">
        <v>0</v>
      </c>
      <c r="AF59" s="1156">
        <v>0</v>
      </c>
      <c r="AG59" s="1156">
        <v>19</v>
      </c>
      <c r="AH59" s="1632">
        <v>19</v>
      </c>
      <c r="AI59" s="1632">
        <v>19</v>
      </c>
      <c r="AJ59" s="1632">
        <v>19</v>
      </c>
      <c r="AK59" s="1632">
        <v>19</v>
      </c>
      <c r="AL59" s="1632">
        <v>19</v>
      </c>
      <c r="AM59" s="1156">
        <v>19</v>
      </c>
      <c r="AN59" s="1156">
        <v>11</v>
      </c>
      <c r="AO59" s="1156">
        <v>3</v>
      </c>
      <c r="AP59" s="1156">
        <v>11</v>
      </c>
      <c r="AQ59" s="1156">
        <v>0</v>
      </c>
      <c r="AR59" s="1156">
        <v>4</v>
      </c>
      <c r="AS59" s="1156">
        <v>115</v>
      </c>
      <c r="AT59" s="512">
        <v>10</v>
      </c>
      <c r="AU59" s="512">
        <v>10</v>
      </c>
      <c r="AV59" s="512">
        <v>10</v>
      </c>
      <c r="AW59" s="512">
        <v>10</v>
      </c>
      <c r="AX59" s="512">
        <v>10</v>
      </c>
      <c r="AY59" s="1156">
        <v>23</v>
      </c>
    </row>
  </sheetData>
  <sheetProtection formatColumns="0" formatRows="0" autoFilter="0" sort="0" insertRows="0" insertColumns="1" deleteRows="0" deleteColumns="0"/>
  <mergeCells count="113">
    <mergeCell ref="AS47:AS48"/>
    <mergeCell ref="T56:AS56"/>
    <mergeCell ref="T58:AS58"/>
    <mergeCell ref="K47:K48"/>
    <mergeCell ref="AC47:AC48"/>
    <mergeCell ref="AD47:AD48"/>
    <mergeCell ref="AE47:AE48"/>
    <mergeCell ref="AF47:AF48"/>
    <mergeCell ref="AN47:AN48"/>
    <mergeCell ref="V38:V40"/>
    <mergeCell ref="AD41:AE41"/>
    <mergeCell ref="AO41:AP41"/>
    <mergeCell ref="E42:E53"/>
    <mergeCell ref="V42:AF42"/>
    <mergeCell ref="AG42:AR42"/>
    <mergeCell ref="F43:F52"/>
    <mergeCell ref="V43:AF43"/>
    <mergeCell ref="AG43:AR43"/>
    <mergeCell ref="G44:G51"/>
    <mergeCell ref="V44:AF44"/>
    <mergeCell ref="AG44:AR44"/>
    <mergeCell ref="H45:H51"/>
    <mergeCell ref="I45:I50"/>
    <mergeCell ref="P45:P50"/>
    <mergeCell ref="V45:AF45"/>
    <mergeCell ref="AG45:AR45"/>
    <mergeCell ref="J46:J49"/>
    <mergeCell ref="Q46:Q49"/>
    <mergeCell ref="V46:AF46"/>
    <mergeCell ref="AG46:AR46"/>
    <mergeCell ref="AO47:AO48"/>
    <mergeCell ref="AP47:AP48"/>
    <mergeCell ref="AQ47:AQ48"/>
    <mergeCell ref="V28:AE28"/>
    <mergeCell ref="AG28:AP28"/>
    <mergeCell ref="AS36:AS40"/>
    <mergeCell ref="S37:S40"/>
    <mergeCell ref="T37:T40"/>
    <mergeCell ref="V37:AE37"/>
    <mergeCell ref="AF37:AF40"/>
    <mergeCell ref="AG37:AP37"/>
    <mergeCell ref="AQ37:AQ40"/>
    <mergeCell ref="S32:T32"/>
    <mergeCell ref="V32:AE32"/>
    <mergeCell ref="AG32:AP32"/>
    <mergeCell ref="S33:T33"/>
    <mergeCell ref="V33:AE33"/>
    <mergeCell ref="AG33:AP33"/>
    <mergeCell ref="AR37:AR40"/>
    <mergeCell ref="AD40:AE40"/>
    <mergeCell ref="AO40:AP40"/>
    <mergeCell ref="V35:AF35"/>
    <mergeCell ref="AG35:AQ35"/>
    <mergeCell ref="S36:AR36"/>
    <mergeCell ref="AN38:AP39"/>
    <mergeCell ref="AC38:AE39"/>
    <mergeCell ref="AL39:AM39"/>
    <mergeCell ref="S29:T29"/>
    <mergeCell ref="AG38:AG40"/>
    <mergeCell ref="AS7:AS8"/>
    <mergeCell ref="AN15:AN16"/>
    <mergeCell ref="AO15:AO16"/>
    <mergeCell ref="AP15:AP16"/>
    <mergeCell ref="AQ15:AQ16"/>
    <mergeCell ref="AD7:AD8"/>
    <mergeCell ref="AE7:AE8"/>
    <mergeCell ref="AF7:AF8"/>
    <mergeCell ref="AN7:AN8"/>
    <mergeCell ref="AO7:AO8"/>
    <mergeCell ref="AP7:AP8"/>
    <mergeCell ref="V29:AE29"/>
    <mergeCell ref="AG29:AP29"/>
    <mergeCell ref="S30:T30"/>
    <mergeCell ref="V30:AE30"/>
    <mergeCell ref="AG30:AP30"/>
    <mergeCell ref="S24:AP24"/>
    <mergeCell ref="S25:AP25"/>
    <mergeCell ref="S27:T27"/>
    <mergeCell ref="V27:AE27"/>
    <mergeCell ref="AG27:AP27"/>
    <mergeCell ref="S28:T28"/>
    <mergeCell ref="E2:E13"/>
    <mergeCell ref="V2:AF2"/>
    <mergeCell ref="AG2:AR2"/>
    <mergeCell ref="F3:F12"/>
    <mergeCell ref="V3:AF3"/>
    <mergeCell ref="AG3:AR3"/>
    <mergeCell ref="G4:G11"/>
    <mergeCell ref="V4:AF4"/>
    <mergeCell ref="AG4:AR4"/>
    <mergeCell ref="H5:H11"/>
    <mergeCell ref="I5:I10"/>
    <mergeCell ref="P5:P10"/>
    <mergeCell ref="V5:AF5"/>
    <mergeCell ref="AG5:AR5"/>
    <mergeCell ref="J6:J9"/>
    <mergeCell ref="Q6:Q9"/>
    <mergeCell ref="V6:AF6"/>
    <mergeCell ref="AG6:AR6"/>
    <mergeCell ref="K7:K8"/>
    <mergeCell ref="AC7:AC8"/>
    <mergeCell ref="AQ7:AQ8"/>
    <mergeCell ref="AH38:AJ38"/>
    <mergeCell ref="AK38:AM38"/>
    <mergeCell ref="AH39:AH40"/>
    <mergeCell ref="AI39:AJ39"/>
    <mergeCell ref="AK39:AK40"/>
    <mergeCell ref="X39:Y39"/>
    <mergeCell ref="W39:W40"/>
    <mergeCell ref="Z39:Z40"/>
    <mergeCell ref="AA39:AB39"/>
    <mergeCell ref="W38:Y38"/>
    <mergeCell ref="Z38:AB38"/>
  </mergeCells>
  <dataValidations count="7">
    <dataValidation allowBlank="1" sqref="S131117:AS131123 S196653:AS196659 S262189:AS262195 S327725:AS327731 S393261:AS393267 S458797:AS458803 S524333:AS524339 S589869:AS589875 S655405:AS655411 S720941:AS720947 S786477:AS786483 S852013:AS852019 S917549:AS917555 S983085:AS983091 S65581:AS65587"/>
    <dataValidation type="list" allowBlank="1" showInputMessage="1" errorTitle="Ошибка" error="Выберите значение из списка" prompt="Выберите значение из списка" sqref="V983082:AR983082 V65578:AR65578 V131114:AR131114 V196650:AR196650 V262186:AR262186 V327722:AR327722 V393258:AR393258 V458794:AR458794 V524330:AR524330 V589866:AR589866 V655402:AR655402 V720938:AR720938 V786474:AR786474 V852010:AR852010 V917546:AR917546">
      <formula1>kind_of_cons</formula1>
    </dataValidation>
    <dataValidation type="list" allowBlank="1" showInputMessage="1" showErrorMessage="1" errorTitle="Ошибка" error="Выберите значение из списка" sqref="AG917545:AL917545 AG852009:AL852009 AG786473:AL786473 AG720937:AL720937 AG655401:AL655401 AG589865:AL589865 AG524329:AL524329 AG458793:AL458793 AG393257:AL393257 AG327721:AL327721 AG262185:AL262185 AG196649:AL196649 AG131113:AL131113 AG65577:AL65577 AG983081:AL983081 V983081:AB983081 V65577:AB65577 V131113:AB131113 V196649:AB196649 V262185:AB262185 V327721:AB327721 V393257:AB393257 V458793:AB458793 V524329:AB524329 V589865:AB589865 V655401:AB655401 V720937:AB720937 V786473:AB786473 V852009:AB852009 V917545:AB917545">
      <formula1>kind_of_scheme_in</formula1>
    </dataValidation>
    <dataValidation type="textLength" operator="lessThanOrEqual" allowBlank="1" showInputMessage="1" showErrorMessage="1" errorTitle="Ошибка" error="Допускается ввод не более 900 символов!" sqref="AS65573:AS65580 AS131109:AS131116 AS196645:AS196652 AS262181:AS262188 AS327717:AS327724 AS393253:AS393260 AS458789:AS458796 AS524325:AS524332 AS589861:AS589868 AS655397:AS655404 AS720933:AS720940 AS786469:AS786476 AS852005:AS852012 AS917541:AS917548 AS983077:AS983084 T47 T7 AG45:AR45 AG5:AR5">
      <formula1>900</formula1>
    </dataValidation>
    <dataValidation type="list" allowBlank="1" showInputMessage="1" showErrorMessage="1" errorTitle="Ошибка" error="Выберите значение из списка" sqref="T65579 T131115 T196651 T262187 T327723 T393259 T458795 T524331 T589867 T655403 T720939 T786475 T852011 T917547 T983083">
      <formula1>kind_of_heat_transfer</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AC65579 AC131115 AC196651 AC262187 AC327723 AC393259 AC458795 AC524331 AC589867 AC655403 AC720939 AC786475 AC852011 AC917547 AC983083 AE65579 AE131115 AE196651 AE262187 AE327723 AE393259 AE458795 AE524331 AE589867 AE655403 AE720939 AE786475 AE852011 AE917547 AE983083 AN15 AN65579 AN131115 AN196651 AN262187 AN327723 AN393259 AN458795 AN524331 AN589867 AN655403 AN720939 AN786475 AN852011 AN917547 AN983083 AP65579 AP131115 AP196651 AP262187 AP327723 AP393259 AP458795 AP524331 AP589867 AP655403 AP720939 AP786475 AP852011 AP917547 AP983083 AP47 AN47 AP15 AP7 AN7 AC7 AE7 AC47 AE47"/>
    <dataValidation allowBlank="1" showInputMessage="1" showErrorMessage="1" prompt="Для выбора выполните двойной щелчок левой клавиши мыши по соответствующей ячейке." sqref="AD65579 AD131115 AD196651 AD262187 AD327723 AD393259 AD458795 AD524331 AD589867 AD655403 AD720939 AD786475 AD852011 AD917547 AD983083 AF131115 AF458795 AF196651 AF262187 AF327723 AF393259 AF524331 AF589867 AF655403 AF720939 AF786475 AF852011 AF917547 AF983083 AF65579 AO65579 AO131115 AO196651 AO262187 AO327723 AO393259 AO458795 AO524331 AO589867 AO655403 AO720939 AO786475 AO852011 AO917547 AO983083 AQ524331 AQ196651 AQ589867 AQ655403 AQ15 AQ720939 AQ786475 AQ852011 AQ917547 AQ983083 AQ65579 AQ131115 AQ458795 AQ262187 AQ7 AO47 AQ327723 AO15 AO7 AD7 AF7 AQ393259 AQ47 AD47 AF47"/>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B9115898-A251-CA18-E7E8-A2B860FB321A}" mc:Ignorable="x14ac xr xr2 xr3">
  <sheetPr>
    <tabColor theme="6" tint="0.4"/>
  </sheetPr>
  <dimension ref="A1:AY59"/>
  <sheetViews>
    <sheetView showGridLines="0" zoomScale="90" workbookViewId="0">
      <pane xSplit="32" ySplit="41" topLeftCell="AG42" activePane="bottomRight" state="frozen"/>
      <selection pane="bottomLeft" activeCell="A42" sqref="A42"/>
      <selection pane="topRight" activeCell="AG1" sqref="AG1"/>
      <selection pane="bottomRight" activeCell="A1" sqref="A1"/>
    </sheetView>
  </sheetViews>
  <sheetFormatPr defaultColWidth="10.57421875" customHeight="1" defaultRowHeight="14.25"/>
  <cols>
    <col min="1" max="1" style="1367" width="10.57421875" hidden="1"/>
    <col min="2" max="2" style="1367" width="11.00390625" hidden="1" customWidth="1"/>
    <col min="3" max="3" style="1367" width="10.57421875" hidden="1"/>
    <col min="4" max="4" style="1367" width="11.8515625" hidden="1" customWidth="1"/>
    <col min="5" max="5" style="1367" width="10.00390625" hidden="1" customWidth="1"/>
    <col min="6" max="6" style="1367" width="8.7109375" hidden="1" customWidth="1"/>
    <col min="7" max="7" style="1367" width="7.57421875" hidden="1" customWidth="1"/>
    <col min="8" max="8" style="1367" width="11.421875" hidden="1" customWidth="1"/>
    <col min="9" max="9" style="1367" width="14.140625" hidden="1" customWidth="1"/>
    <col min="10" max="10" style="1367" width="9.8515625" hidden="1" customWidth="1"/>
    <col min="11" max="11" style="1367" width="14.7109375" hidden="1" customWidth="1"/>
    <col min="12" max="12" style="2608" width="19.140625" hidden="1" customWidth="1"/>
    <col min="13" max="14" style="1777" width="12.28125" hidden="1" customWidth="1"/>
    <col min="15" max="15" style="1777" width="23.421875" hidden="1" customWidth="1"/>
    <col min="16" max="16" style="2398" width="3.00390625" customWidth="1"/>
    <col min="17" max="18" style="345" width="3.00390625" customWidth="1"/>
    <col min="19" max="19" style="2408" width="12.00390625" customWidth="1"/>
    <col min="20" max="20" style="1636" width="35.00390625" customWidth="1"/>
    <col min="21" max="21" style="1636" width="0.140625" customWidth="1"/>
    <col min="22" max="28" style="1636" width="19.7109375" hidden="1" customWidth="1"/>
    <col min="29" max="29" style="1636" width="11.7109375" hidden="1" customWidth="1"/>
    <col min="30" max="30" style="1636" width="3.7109375" hidden="1" customWidth="1"/>
    <col min="31" max="31" style="1636" width="11.7109375" hidden="1" customWidth="1"/>
    <col min="32" max="32" style="1636" width="8.57421875" hidden="1" customWidth="1"/>
    <col min="33" max="33" style="1636" width="19.7109375" customWidth="1"/>
    <col min="34" max="39" style="1636" width="19.00390625" customWidth="1"/>
    <col min="40" max="40" style="1636" width="11.00390625" customWidth="1"/>
    <col min="41" max="41" style="1636" width="3.7109375" customWidth="1"/>
    <col min="42" max="42" style="1636" width="11.00390625" customWidth="1"/>
    <col min="43" max="43" style="1636" width="8.57421875" hidden="1" customWidth="1"/>
    <col min="44" max="44" style="1636" width="4.00390625" customWidth="1"/>
    <col min="45" max="45" style="1636" width="115.00390625" customWidth="1"/>
    <col min="46" max="50" style="1643" width="10.00390625" customWidth="1"/>
    <col min="51" max="51" style="1636" width="10.57421875" hidden="1"/>
  </cols>
  <sheetData>
    <row customHeight="1" ht="22.5" hidden="1">
      <c r="AB1" s="328"/>
      <c r="AC1" s="328"/>
      <c r="AM1" s="328"/>
      <c r="AN1" s="328"/>
      <c r="AY1" s="1156" t="s">
        <v>14</v>
      </c>
    </row>
    <row customHeight="1" ht="23.25" hidden="1">
      <c r="A2" s="1364"/>
      <c r="B2" s="1364"/>
      <c r="C2" s="1364"/>
      <c r="D2" s="1364"/>
      <c r="E2" s="2259">
        <v>1</v>
      </c>
      <c r="F2" s="1364"/>
      <c r="G2" s="1364"/>
      <c r="H2" s="1364"/>
      <c r="I2" s="1364"/>
      <c r="J2" s="1364"/>
      <c r="K2" s="1364"/>
      <c r="L2" s="1365"/>
      <c r="M2" s="1366"/>
      <c r="N2" s="1366"/>
      <c r="O2" s="1366"/>
      <c r="P2" s="362"/>
      <c r="Q2" s="361"/>
      <c r="R2" s="356"/>
      <c r="S2" s="1494">
        <f>INDEX(PT_DIFFERENTIATION_NUM_NTAR,MATCH(A2,PT_DIFFERENTIATION_NTAR_ID,0))</f>
      </c>
      <c r="T2" s="299" t="s">
        <v>131</v>
      </c>
      <c r="U2" s="301"/>
      <c r="V2" s="2243"/>
      <c r="W2" s="2244"/>
      <c r="X2" s="2244"/>
      <c r="Y2" s="2244"/>
      <c r="Z2" s="2244"/>
      <c r="AA2" s="2244"/>
      <c r="AB2" s="2244"/>
      <c r="AC2" s="2244"/>
      <c r="AD2" s="2244"/>
      <c r="AE2" s="2244"/>
      <c r="AF2" s="2245"/>
      <c r="AG2" s="2243">
        <f>INDEX(PT_DIFFERENTIATION_NTAR,MATCH(A2,PT_DIFFERENTIATION_NTAR_ID,0))</f>
      </c>
      <c r="AH2" s="2244"/>
      <c r="AI2" s="2244"/>
      <c r="AJ2" s="2244"/>
      <c r="AK2" s="2244"/>
      <c r="AL2" s="2244"/>
      <c r="AM2" s="2244"/>
      <c r="AN2" s="2244"/>
      <c r="AO2" s="2244"/>
      <c r="AP2" s="2244"/>
      <c r="AQ2" s="2244"/>
      <c r="AR2" s="2245"/>
      <c r="AS2" s="1259"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U2" s="501"/>
      <c r="AV2" s="501" t="str">
        <f>IF(T2="","",T2)</f>
        <v>Наименование тарифа</v>
      </c>
      <c r="AW2" s="501"/>
      <c r="AX2" s="501"/>
      <c r="AY2" s="1156">
        <v>0</v>
      </c>
    </row>
    <row customHeight="1" ht="23.25" hidden="1">
      <c r="A3" s="1364"/>
      <c r="B3" s="1364"/>
      <c r="C3" s="1364"/>
      <c r="D3" s="1364"/>
      <c r="E3" s="2260"/>
      <c r="F3" s="2259">
        <v>1</v>
      </c>
      <c r="G3" s="1364"/>
      <c r="H3" s="1364"/>
      <c r="I3" s="1364"/>
      <c r="J3" s="1364"/>
      <c r="K3" s="1364"/>
      <c r="L3" s="1365"/>
      <c r="M3" s="1366"/>
      <c r="N3" s="1366"/>
      <c r="O3" s="1366"/>
      <c r="P3" s="1488"/>
      <c r="Q3" s="353"/>
      <c r="R3" s="354"/>
      <c r="S3" s="1494">
        <f>INDEX(PT_DIFFERENTIATION_NUM_TER,MATCH(B3,PT_DIFFERENTIATION_TER_ID,0))</f>
      </c>
      <c r="T3" s="309" t="s">
        <v>414</v>
      </c>
      <c r="U3" s="301"/>
      <c r="V3" s="2243"/>
      <c r="W3" s="2244"/>
      <c r="X3" s="2244"/>
      <c r="Y3" s="2244"/>
      <c r="Z3" s="2244"/>
      <c r="AA3" s="2244"/>
      <c r="AB3" s="2244"/>
      <c r="AC3" s="2244"/>
      <c r="AD3" s="2244"/>
      <c r="AE3" s="2244"/>
      <c r="AF3" s="2245"/>
      <c r="AG3" s="2243">
        <f>INDEX(PT_DIFFERENTIATION_TER,MATCH(B3,PT_DIFFERENTIATION_TER_ID,0))</f>
      </c>
      <c r="AH3" s="2244"/>
      <c r="AI3" s="2244"/>
      <c r="AJ3" s="2244"/>
      <c r="AK3" s="2244"/>
      <c r="AL3" s="2244"/>
      <c r="AM3" s="2244"/>
      <c r="AN3" s="2244"/>
      <c r="AO3" s="2244"/>
      <c r="AP3" s="2244"/>
      <c r="AQ3" s="2244"/>
      <c r="AR3" s="2245"/>
      <c r="AS3" s="1259" t="s">
        <v>415</v>
      </c>
      <c r="AU3" s="501"/>
      <c r="AV3" s="501" t="str">
        <f>IF(T3="","",T3)</f>
        <v>Территория действия тарифа</v>
      </c>
      <c r="AW3" s="501"/>
      <c r="AX3" s="501"/>
      <c r="AY3" s="1156">
        <v>0</v>
      </c>
    </row>
    <row customHeight="1" ht="23.25" hidden="1">
      <c r="A4" s="1364"/>
      <c r="B4" s="1364"/>
      <c r="C4" s="1364"/>
      <c r="D4" s="1364"/>
      <c r="E4" s="2260"/>
      <c r="F4" s="2260"/>
      <c r="G4" s="2259">
        <v>1</v>
      </c>
      <c r="H4" s="1364"/>
      <c r="I4" s="1364"/>
      <c r="J4" s="1364"/>
      <c r="K4" s="1364"/>
      <c r="L4" s="1365"/>
      <c r="M4" s="1366"/>
      <c r="N4" s="1366"/>
      <c r="O4" s="1366"/>
      <c r="P4" s="355"/>
      <c r="Q4" s="353"/>
      <c r="R4" s="354"/>
      <c r="S4" s="1494">
        <f>INDEX(PT_DIFFERENTIATION_NUM_CS,MATCH(C4,PT_DIFFERENTIATION_CS_ID,0))</f>
      </c>
      <c r="T4" s="310" t="s">
        <v>549</v>
      </c>
      <c r="U4" s="301"/>
      <c r="V4" s="2243"/>
      <c r="W4" s="2244"/>
      <c r="X4" s="2244"/>
      <c r="Y4" s="2244"/>
      <c r="Z4" s="2244"/>
      <c r="AA4" s="2244"/>
      <c r="AB4" s="2244"/>
      <c r="AC4" s="2244"/>
      <c r="AD4" s="2244"/>
      <c r="AE4" s="2244"/>
      <c r="AF4" s="2245"/>
      <c r="AG4" s="2243">
        <f>INDEX(PT_DIFFERENTIATION_CS,MATCH(C4,PT_DIFFERENTIATION_CS_ID,0))</f>
      </c>
      <c r="AH4" s="2244"/>
      <c r="AI4" s="2244"/>
      <c r="AJ4" s="2244"/>
      <c r="AK4" s="2244"/>
      <c r="AL4" s="2244"/>
      <c r="AM4" s="2244"/>
      <c r="AN4" s="2244"/>
      <c r="AO4" s="2244"/>
      <c r="AP4" s="2244"/>
      <c r="AQ4" s="2244"/>
      <c r="AR4" s="2245"/>
      <c r="AS4" s="1259" t="s">
        <v>550</v>
      </c>
      <c r="AU4" s="501"/>
      <c r="AV4" s="501" t="str">
        <f>IF(T4="","",T4)</f>
        <v>Наименование централизованной системы горячего водоснабжения</v>
      </c>
      <c r="AW4" s="501"/>
      <c r="AX4" s="501"/>
      <c r="AY4" s="1156">
        <v>0</v>
      </c>
    </row>
    <row customHeight="1" ht="23.25" hidden="1">
      <c r="A5" s="1364"/>
      <c r="B5" s="1364"/>
      <c r="C5" s="1364"/>
      <c r="D5" s="1364"/>
      <c r="E5" s="2260"/>
      <c r="F5" s="2260"/>
      <c r="G5" s="2260"/>
      <c r="H5" s="2260"/>
      <c r="I5" s="2257">
        <f>S4&amp;".1"</f>
      </c>
      <c r="J5" s="1364"/>
      <c r="K5" s="1364"/>
      <c r="L5" s="1365"/>
      <c r="P5" s="2258">
        <v>1</v>
      </c>
      <c r="Q5" s="1482"/>
      <c r="R5" s="357"/>
      <c r="S5" s="1494">
        <f>$I5</f>
      </c>
      <c r="T5" s="286" t="s">
        <v>502</v>
      </c>
      <c r="U5" s="301"/>
      <c r="V5" s="2351"/>
      <c r="W5" s="2352"/>
      <c r="X5" s="2352"/>
      <c r="Y5" s="2352"/>
      <c r="Z5" s="2352"/>
      <c r="AA5" s="2352"/>
      <c r="AB5" s="2352"/>
      <c r="AC5" s="2352"/>
      <c r="AD5" s="2352"/>
      <c r="AE5" s="2352"/>
      <c r="AF5" s="2353"/>
      <c r="AG5" s="2354"/>
      <c r="AH5" s="2355"/>
      <c r="AI5" s="2355"/>
      <c r="AJ5" s="2355"/>
      <c r="AK5" s="2355"/>
      <c r="AL5" s="2355"/>
      <c r="AM5" s="2355"/>
      <c r="AN5" s="2355"/>
      <c r="AO5" s="2355"/>
      <c r="AP5" s="2355"/>
      <c r="AQ5" s="2355"/>
      <c r="AR5" s="2356"/>
      <c r="AS5" s="1259" t="s">
        <v>503</v>
      </c>
      <c r="AU5" s="501"/>
      <c r="AV5" s="501" t="str">
        <f>IF(T5="","",T5)</f>
        <v>Наименование признака дифференциации</v>
      </c>
      <c r="AW5" s="501"/>
      <c r="AX5" s="501"/>
      <c r="AY5" s="1156">
        <v>0</v>
      </c>
    </row>
    <row customHeight="1" ht="23.25" hidden="1">
      <c r="A6" s="1364"/>
      <c r="B6" s="1364"/>
      <c r="C6" s="1364"/>
      <c r="D6" s="1364"/>
      <c r="E6" s="2260"/>
      <c r="F6" s="2260"/>
      <c r="G6" s="2260"/>
      <c r="H6" s="2260"/>
      <c r="I6" s="2287"/>
      <c r="J6" s="2257">
        <f>I5&amp;".1"</f>
      </c>
      <c r="K6" s="1364"/>
      <c r="L6" s="1365" t="s">
        <v>423</v>
      </c>
      <c r="P6" s="2258"/>
      <c r="Q6" s="2258">
        <v>1</v>
      </c>
      <c r="R6" s="358"/>
      <c r="S6" s="1494">
        <f>$J6</f>
      </c>
      <c r="T6" s="287" t="s">
        <v>424</v>
      </c>
      <c r="U6" s="301"/>
      <c r="V6" s="2246"/>
      <c r="W6" s="2247"/>
      <c r="X6" s="2247"/>
      <c r="Y6" s="2247"/>
      <c r="Z6" s="2247"/>
      <c r="AA6" s="2247"/>
      <c r="AB6" s="2247"/>
      <c r="AC6" s="2247"/>
      <c r="AD6" s="2247"/>
      <c r="AE6" s="2247"/>
      <c r="AF6" s="2248"/>
      <c r="AG6" s="2246"/>
      <c r="AH6" s="2247"/>
      <c r="AI6" s="2247"/>
      <c r="AJ6" s="2247"/>
      <c r="AK6" s="2247"/>
      <c r="AL6" s="2247"/>
      <c r="AM6" s="2247"/>
      <c r="AN6" s="2247"/>
      <c r="AO6" s="2247"/>
      <c r="AP6" s="2247"/>
      <c r="AQ6" s="2247"/>
      <c r="AR6" s="2248"/>
      <c r="AS6" s="1308" t="s">
        <v>504</v>
      </c>
      <c r="AU6" s="501"/>
      <c r="AV6" s="501" t="str">
        <f>IF(T6="","",T6)</f>
        <v>Группа потребителей</v>
      </c>
      <c r="AW6" s="501"/>
      <c r="AX6" s="501"/>
      <c r="AY6" s="1156">
        <v>0</v>
      </c>
    </row>
    <row customHeight="1" ht="23.25" hidden="1">
      <c r="A7" s="1364"/>
      <c r="B7" s="1364"/>
      <c r="C7" s="1364"/>
      <c r="D7" s="1364"/>
      <c r="E7" s="2260"/>
      <c r="F7" s="2260"/>
      <c r="G7" s="2260"/>
      <c r="H7" s="2260"/>
      <c r="I7" s="2287"/>
      <c r="J7" s="2287"/>
      <c r="K7" s="2257">
        <f>J6&amp;".1"</f>
      </c>
      <c r="L7" s="1365"/>
      <c r="P7" s="2258"/>
      <c r="Q7" s="2258"/>
      <c r="R7" s="358">
        <v>1</v>
      </c>
      <c r="S7" s="1494">
        <f>$K7</f>
      </c>
      <c r="T7" s="1438"/>
      <c r="U7" s="301"/>
      <c r="V7" s="752"/>
      <c r="W7" s="752"/>
      <c r="X7" s="752"/>
      <c r="Y7" s="752"/>
      <c r="Z7" s="752"/>
      <c r="AA7" s="752"/>
      <c r="AB7" s="1258"/>
      <c r="AC7" s="2266"/>
      <c r="AD7" s="2108" t="s">
        <v>61</v>
      </c>
      <c r="AE7" s="2266"/>
      <c r="AF7" s="2108" t="s">
        <v>61</v>
      </c>
      <c r="AG7" s="752"/>
      <c r="AH7" s="752"/>
      <c r="AI7" s="752"/>
      <c r="AJ7" s="752"/>
      <c r="AK7" s="752"/>
      <c r="AL7" s="752"/>
      <c r="AM7" s="1258"/>
      <c r="AN7" s="2266"/>
      <c r="AO7" s="2108" t="s">
        <v>61</v>
      </c>
      <c r="AP7" s="2288"/>
      <c r="AQ7" s="2108" t="s">
        <v>61</v>
      </c>
      <c r="AR7" s="1439"/>
      <c r="AS7" s="2350"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T7" s="512">
        <f>STRCHECKDATE(V8:AR8)</f>
      </c>
      <c r="AU7" s="501"/>
      <c r="AV7" s="501" t="str">
        <f>IF(T7="","",T7)</f>
        <v/>
      </c>
      <c r="AW7" s="501"/>
      <c r="AX7" s="501"/>
      <c r="AY7" s="1156">
        <v>0</v>
      </c>
    </row>
    <row customHeight="1" ht="14.25" hidden="1">
      <c r="A8" s="1364"/>
      <c r="B8" s="1364"/>
      <c r="C8" s="1364"/>
      <c r="D8" s="1364"/>
      <c r="E8" s="2260"/>
      <c r="F8" s="2260"/>
      <c r="G8" s="2260"/>
      <c r="H8" s="2260"/>
      <c r="I8" s="2287"/>
      <c r="J8" s="2287"/>
      <c r="K8" s="2257"/>
      <c r="L8" s="1365"/>
      <c r="P8" s="2258"/>
      <c r="Q8" s="2258"/>
      <c r="R8" s="358"/>
      <c r="S8" s="1491"/>
      <c r="T8" s="301"/>
      <c r="U8" s="301"/>
      <c r="V8" s="326"/>
      <c r="W8" s="326"/>
      <c r="X8" s="326"/>
      <c r="Y8" s="326"/>
      <c r="Z8" s="326"/>
      <c r="AA8" s="326"/>
      <c r="AB8" s="329" t="str">
        <f>AC7&amp;"-"&amp;AE7</f>
        <v>-</v>
      </c>
      <c r="AC8" s="2267"/>
      <c r="AD8" s="2108"/>
      <c r="AE8" s="2267"/>
      <c r="AF8" s="2108"/>
      <c r="AG8" s="326"/>
      <c r="AH8" s="326"/>
      <c r="AI8" s="326"/>
      <c r="AJ8" s="326"/>
      <c r="AK8" s="326"/>
      <c r="AL8" s="326"/>
      <c r="AM8" s="329" t="str">
        <f>AN7&amp;"-"&amp;AP7</f>
        <v>-</v>
      </c>
      <c r="AN8" s="2267"/>
      <c r="AO8" s="2108"/>
      <c r="AP8" s="2289"/>
      <c r="AQ8" s="2108"/>
      <c r="AR8" s="1440"/>
      <c r="AS8" s="2350"/>
      <c r="AU8" s="501"/>
      <c r="AV8" s="501" t="str">
        <f>IF(T8="","",T8)</f>
        <v/>
      </c>
      <c r="AW8" s="501"/>
      <c r="AX8" s="501"/>
      <c r="AY8" s="1156">
        <v>0</v>
      </c>
    </row>
    <row customHeight="1" ht="21" hidden="1">
      <c r="A9" s="1364"/>
      <c r="B9" s="1364"/>
      <c r="C9" s="1364"/>
      <c r="D9" s="1364"/>
      <c r="E9" s="2260"/>
      <c r="F9" s="2260"/>
      <c r="G9" s="2260"/>
      <c r="H9" s="2260"/>
      <c r="I9" s="2287"/>
      <c r="J9" s="2257"/>
      <c r="K9" s="1364"/>
      <c r="L9" s="1365"/>
      <c r="P9" s="2258"/>
      <c r="Q9" s="2258"/>
      <c r="R9" s="357"/>
      <c r="S9" s="1279"/>
      <c r="T9" s="288" t="s">
        <v>505</v>
      </c>
      <c r="U9" s="368"/>
      <c r="V9" s="368"/>
      <c r="W9" s="601"/>
      <c r="X9" s="601"/>
      <c r="Y9" s="601"/>
      <c r="Z9" s="601"/>
      <c r="AA9" s="601"/>
      <c r="AB9" s="368"/>
      <c r="AC9" s="368"/>
      <c r="AD9" s="368"/>
      <c r="AE9" s="368"/>
      <c r="AF9" s="368"/>
      <c r="AG9" s="368"/>
      <c r="AH9" s="601"/>
      <c r="AI9" s="601"/>
      <c r="AJ9" s="601"/>
      <c r="AK9" s="601"/>
      <c r="AL9" s="601"/>
      <c r="AM9" s="368"/>
      <c r="AN9" s="368"/>
      <c r="AO9" s="368"/>
      <c r="AP9" s="368"/>
      <c r="AQ9" s="368"/>
      <c r="AR9" s="368"/>
      <c r="AS9" s="1259" t="s">
        <v>506</v>
      </c>
      <c r="AU9" s="501"/>
      <c r="AV9" s="501" t="str">
        <f>IF(T9="","",T9)</f>
        <v>Добавить значение признака дифференциации</v>
      </c>
      <c r="AW9" s="501"/>
      <c r="AX9" s="501"/>
      <c r="AY9" s="1156">
        <v>0</v>
      </c>
    </row>
    <row customHeight="1" ht="21" hidden="1">
      <c r="A10" s="1364"/>
      <c r="B10" s="1364"/>
      <c r="C10" s="1364"/>
      <c r="D10" s="1364"/>
      <c r="E10" s="2260"/>
      <c r="F10" s="2260"/>
      <c r="G10" s="2260"/>
      <c r="H10" s="2260"/>
      <c r="I10" s="2257"/>
      <c r="J10" s="1364"/>
      <c r="K10" s="1364"/>
      <c r="L10" s="1365"/>
      <c r="P10" s="2258"/>
      <c r="Q10" s="1482"/>
      <c r="R10" s="357"/>
      <c r="S10" s="1279"/>
      <c r="T10" s="366" t="s">
        <v>429</v>
      </c>
      <c r="U10" s="368"/>
      <c r="V10" s="368"/>
      <c r="W10" s="601"/>
      <c r="X10" s="601"/>
      <c r="Y10" s="601"/>
      <c r="Z10" s="601"/>
      <c r="AA10" s="601"/>
      <c r="AB10" s="368"/>
      <c r="AC10" s="368"/>
      <c r="AD10" s="368"/>
      <c r="AE10" s="368"/>
      <c r="AF10" s="367"/>
      <c r="AG10" s="368"/>
      <c r="AH10" s="601"/>
      <c r="AI10" s="601"/>
      <c r="AJ10" s="601"/>
      <c r="AK10" s="601"/>
      <c r="AL10" s="601"/>
      <c r="AM10" s="368"/>
      <c r="AN10" s="368"/>
      <c r="AO10" s="368"/>
      <c r="AP10" s="368"/>
      <c r="AQ10" s="367"/>
      <c r="AR10" s="368"/>
      <c r="AS10" s="1441"/>
      <c r="AU10" s="501"/>
      <c r="AV10" s="501" t="str">
        <f>IF(T10="","",T10)</f>
        <v>Добавить группу потребителей</v>
      </c>
      <c r="AW10" s="501"/>
      <c r="AX10" s="501"/>
      <c r="AY10" s="1156">
        <v>0</v>
      </c>
    </row>
    <row customHeight="1" ht="21" hidden="1">
      <c r="A11" s="1364"/>
      <c r="B11" s="1364"/>
      <c r="C11" s="1364"/>
      <c r="D11" s="1364"/>
      <c r="E11" s="2260"/>
      <c r="F11" s="2260"/>
      <c r="G11" s="2260"/>
      <c r="H11" s="2259"/>
      <c r="I11" s="1364"/>
      <c r="J11" s="1364"/>
      <c r="K11" s="1364"/>
      <c r="L11" s="1365"/>
      <c r="M11" s="1366"/>
      <c r="N11" s="1366"/>
      <c r="O11" s="538"/>
      <c r="P11" s="361"/>
      <c r="Q11" s="376"/>
      <c r="R11" s="356"/>
      <c r="S11" s="1279"/>
      <c r="T11" s="373" t="s">
        <v>507</v>
      </c>
      <c r="U11" s="368"/>
      <c r="V11" s="368"/>
      <c r="W11" s="601"/>
      <c r="X11" s="601"/>
      <c r="Y11" s="601"/>
      <c r="Z11" s="601"/>
      <c r="AA11" s="601"/>
      <c r="AB11" s="368"/>
      <c r="AC11" s="368"/>
      <c r="AD11" s="368"/>
      <c r="AE11" s="368"/>
      <c r="AF11" s="367"/>
      <c r="AG11" s="368"/>
      <c r="AH11" s="601"/>
      <c r="AI11" s="601"/>
      <c r="AJ11" s="601"/>
      <c r="AK11" s="601"/>
      <c r="AL11" s="601"/>
      <c r="AM11" s="368"/>
      <c r="AN11" s="368"/>
      <c r="AO11" s="368"/>
      <c r="AP11" s="368"/>
      <c r="AQ11" s="367"/>
      <c r="AR11" s="368"/>
      <c r="AS11" s="304"/>
      <c r="AU11" s="501"/>
      <c r="AV11" s="501" t="str">
        <f>IF(T11="","",T11)</f>
        <v>Добавить наименование признака дифференциации</v>
      </c>
      <c r="AW11" s="501"/>
      <c r="AX11" s="501"/>
      <c r="AY11" s="1156">
        <v>0</v>
      </c>
    </row>
    <row s="1643" customFormat="1" customHeight="1" ht="14.25" hidden="1">
      <c r="A12" s="1344"/>
      <c r="B12" s="1344"/>
      <c r="C12" s="1315"/>
      <c r="D12" s="1315"/>
      <c r="E12" s="2260"/>
      <c r="F12" s="2259"/>
      <c r="G12" s="1315"/>
      <c r="H12" s="1315"/>
      <c r="I12" s="1315"/>
      <c r="J12" s="1315"/>
      <c r="K12" s="1315"/>
      <c r="L12" s="1495"/>
      <c r="M12" s="1322"/>
      <c r="N12" s="1322"/>
      <c r="P12" s="1317"/>
      <c r="Q12" s="1318"/>
      <c r="R12" s="1317"/>
      <c r="S12" s="1323"/>
      <c r="T12" s="1326" t="s">
        <v>177</v>
      </c>
      <c r="U12" s="1325"/>
      <c r="V12" s="1325"/>
      <c r="W12" s="1325"/>
      <c r="X12" s="1325"/>
      <c r="Y12" s="1325"/>
      <c r="Z12" s="1325"/>
      <c r="AA12" s="1325"/>
      <c r="AB12" s="1325"/>
      <c r="AC12" s="1325"/>
      <c r="AD12" s="1325"/>
      <c r="AE12" s="1325"/>
      <c r="AF12" s="1325"/>
      <c r="AG12" s="1325"/>
      <c r="AH12" s="1325"/>
      <c r="AI12" s="1325"/>
      <c r="AJ12" s="1325"/>
      <c r="AK12" s="1325"/>
      <c r="AL12" s="1325"/>
      <c r="AM12" s="1325"/>
      <c r="AN12" s="1325"/>
      <c r="AO12" s="1325"/>
      <c r="AP12" s="1325"/>
      <c r="AQ12" s="1325"/>
      <c r="AR12" s="1325"/>
      <c r="AS12" s="1325"/>
      <c r="AU12" s="790"/>
      <c r="AV12" s="790" t="str">
        <f>IF(T12="","",T12)</f>
        <v>Добавить централизованную систему для дифференциации</v>
      </c>
      <c r="AW12" s="790"/>
      <c r="AX12" s="790"/>
      <c r="AY12" s="519">
        <v>0</v>
      </c>
    </row>
    <row s="1643" customFormat="1" customHeight="1" ht="14.25" hidden="1">
      <c r="A13" s="1344"/>
      <c r="B13" s="1344"/>
      <c r="C13" s="1344"/>
      <c r="D13" s="1344"/>
      <c r="E13" s="2259"/>
      <c r="F13" s="1344"/>
      <c r="G13" s="1344"/>
      <c r="H13" s="1344"/>
      <c r="I13" s="1344"/>
      <c r="J13" s="1344"/>
      <c r="K13" s="1344"/>
      <c r="L13" s="1347"/>
      <c r="M13" s="1322"/>
      <c r="N13" s="1322"/>
      <c r="O13" s="519"/>
      <c r="P13" s="381"/>
      <c r="Q13" s="1345"/>
      <c r="R13" s="381"/>
      <c r="S13" s="1323"/>
      <c r="T13" s="1326" t="s">
        <v>178</v>
      </c>
      <c r="U13" s="1325"/>
      <c r="V13" s="1325"/>
      <c r="W13" s="1325"/>
      <c r="X13" s="1325"/>
      <c r="Y13" s="1325"/>
      <c r="Z13" s="1325"/>
      <c r="AA13" s="1325"/>
      <c r="AB13" s="1325"/>
      <c r="AC13" s="1325"/>
      <c r="AD13" s="1325"/>
      <c r="AE13" s="1325"/>
      <c r="AF13" s="1325"/>
      <c r="AG13" s="1325"/>
      <c r="AH13" s="1325"/>
      <c r="AI13" s="1325"/>
      <c r="AJ13" s="1325"/>
      <c r="AK13" s="1325"/>
      <c r="AL13" s="1325"/>
      <c r="AM13" s="1325"/>
      <c r="AN13" s="1325"/>
      <c r="AO13" s="1325"/>
      <c r="AP13" s="1325"/>
      <c r="AQ13" s="1325"/>
      <c r="AR13" s="1325"/>
      <c r="AS13" s="1325"/>
      <c r="AU13" s="501"/>
      <c r="AV13" s="501" t="str">
        <f>IF(T13="","",T13)</f>
        <v>Добавить территорию для дифференциации</v>
      </c>
      <c r="AW13" s="501"/>
      <c r="AX13" s="501"/>
      <c r="AY13" s="512">
        <v>0</v>
      </c>
    </row>
    <row customHeight="1" ht="14.25" hidden="1">
      <c r="AF14" s="328"/>
      <c r="AQ14" s="328"/>
      <c r="AY14" s="1156">
        <v>0</v>
      </c>
    </row>
    <row customHeight="1" ht="14.25" hidden="1">
      <c r="AG15" s="1361"/>
      <c r="AH15" s="1361"/>
      <c r="AI15" s="1361"/>
      <c r="AJ15" s="1361"/>
      <c r="AK15" s="1361"/>
      <c r="AL15" s="1361"/>
      <c r="AM15" s="1362"/>
      <c r="AN15" s="2268"/>
      <c r="AO15" s="2269" t="s">
        <v>61</v>
      </c>
      <c r="AP15" s="2268"/>
      <c r="AQ15" s="2269" t="s">
        <v>61</v>
      </c>
      <c r="AY15" s="1156">
        <v>0</v>
      </c>
    </row>
    <row customHeight="1" ht="14.25" hidden="1">
      <c r="AG16" s="1361"/>
      <c r="AH16" s="1361"/>
      <c r="AI16" s="1361"/>
      <c r="AJ16" s="1361"/>
      <c r="AK16" s="1361"/>
      <c r="AL16" s="1361"/>
      <c r="AM16" s="329" t="str">
        <f>AN15&amp;"-"&amp;AP15</f>
        <v>-</v>
      </c>
      <c r="AN16" s="2269"/>
      <c r="AO16" s="2269"/>
      <c r="AP16" s="2269"/>
      <c r="AQ16" s="2269"/>
      <c r="AY16" s="1156">
        <v>0</v>
      </c>
    </row>
    <row customHeight="1" ht="14.25" hidden="1">
      <c r="AQ17" s="328"/>
      <c r="AY17" s="1156">
        <v>0</v>
      </c>
    </row>
    <row s="1367" customFormat="1" customHeight="1" ht="22.5" hidden="1">
      <c r="L18" s="1479"/>
      <c r="M18" s="1363"/>
      <c r="N18" s="1363"/>
      <c r="O18" s="1368" t="s">
        <v>431</v>
      </c>
      <c r="P18" s="1363"/>
      <c r="Q18" s="1372"/>
      <c r="R18" s="1372"/>
      <c r="S18" s="730"/>
      <c r="W18" s="1367"/>
      <c r="X18" s="1367"/>
      <c r="Y18" s="1367"/>
      <c r="Z18" s="1367"/>
      <c r="AA18" s="1367"/>
      <c r="AC18" s="1368"/>
      <c r="AE18" s="1368"/>
      <c r="AF18" s="1367"/>
      <c r="AH18" s="1367"/>
      <c r="AI18" s="1367"/>
      <c r="AJ18" s="1367"/>
      <c r="AK18" s="1367"/>
      <c r="AL18" s="1367"/>
      <c r="AN18" s="1368"/>
      <c r="AP18" s="1368"/>
      <c r="AQ18" s="1367"/>
      <c r="AT18" s="512"/>
      <c r="AU18" s="512"/>
      <c r="AV18" s="512"/>
      <c r="AW18" s="512"/>
      <c r="AX18" s="512"/>
      <c r="AY18" s="1161">
        <v>0</v>
      </c>
    </row>
    <row s="1367" customFormat="1" customHeight="1" ht="14.25" hidden="1">
      <c r="L19" s="1479"/>
      <c r="M19" s="1363"/>
      <c r="N19" s="1363"/>
      <c r="O19" s="1363"/>
      <c r="P19" s="1363"/>
      <c r="Q19" s="1372"/>
      <c r="R19" s="1372"/>
      <c r="S19" s="730"/>
      <c r="W19" s="1367"/>
      <c r="X19" s="1367"/>
      <c r="Y19" s="1367"/>
      <c r="Z19" s="1367"/>
      <c r="AA19" s="1367"/>
      <c r="AF19" s="1367"/>
      <c r="AH19" s="1367"/>
      <c r="AI19" s="1367"/>
      <c r="AJ19" s="1367"/>
      <c r="AK19" s="1367"/>
      <c r="AL19" s="1367"/>
      <c r="AQ19" s="1367"/>
      <c r="AT19" s="512"/>
      <c r="AU19" s="512"/>
      <c r="AV19" s="512"/>
      <c r="AW19" s="512"/>
      <c r="AX19" s="512"/>
      <c r="AY19" s="1161">
        <v>0</v>
      </c>
    </row>
    <row s="1367" customFormat="1" customHeight="1" ht="12" hidden="1">
      <c r="L20" s="1479"/>
      <c r="M20" s="1363"/>
      <c r="N20" s="1363"/>
      <c r="O20" s="1365" t="s">
        <v>432</v>
      </c>
      <c r="P20" s="1363"/>
      <c r="Q20" s="1443"/>
      <c r="R20" s="1443"/>
      <c r="S20" s="730"/>
      <c r="T20" s="1161" t="s">
        <v>433</v>
      </c>
      <c r="W20" s="1367"/>
      <c r="X20" s="1367"/>
      <c r="Y20" s="1367"/>
      <c r="Z20" s="1367"/>
      <c r="AA20" s="1367"/>
      <c r="AD20" s="187" t="s">
        <v>434</v>
      </c>
      <c r="AF20" s="187" t="s">
        <v>435</v>
      </c>
      <c r="AG20" s="1161" t="s">
        <v>433</v>
      </c>
      <c r="AH20" s="1367"/>
      <c r="AI20" s="1367"/>
      <c r="AJ20" s="1367"/>
      <c r="AK20" s="1367"/>
      <c r="AL20" s="1367"/>
      <c r="AO20" s="187" t="s">
        <v>436</v>
      </c>
      <c r="AQ20" s="187" t="s">
        <v>435</v>
      </c>
      <c r="AY20" s="1161">
        <v>0</v>
      </c>
    </row>
    <row customHeight="1" ht="14.25" hidden="1">
      <c r="O21" s="1365"/>
      <c r="AY21" s="1156">
        <v>0</v>
      </c>
    </row>
    <row customHeight="1" ht="14.25" hidden="1">
      <c r="O22" s="1365"/>
      <c r="AY22" s="1156">
        <v>0</v>
      </c>
    </row>
    <row customHeight="1" ht="14.699999999999998">
      <c r="Q23" s="377"/>
      <c r="R23" s="377"/>
      <c r="S23" s="1276"/>
      <c r="T23" s="364"/>
      <c r="U23" s="364"/>
      <c r="V23" s="510"/>
      <c r="W23" s="1636"/>
      <c r="X23" s="1636"/>
      <c r="Y23" s="1636"/>
      <c r="Z23" s="1636"/>
      <c r="AA23" s="1636"/>
      <c r="AB23" s="510"/>
      <c r="AC23" s="510"/>
      <c r="AD23" s="510"/>
      <c r="AE23" s="510"/>
      <c r="AF23" s="510"/>
      <c r="AG23" s="510"/>
      <c r="AH23" s="1636"/>
      <c r="AI23" s="1636"/>
      <c r="AJ23" s="1636"/>
      <c r="AK23" s="1636"/>
      <c r="AL23" s="1636"/>
      <c r="AM23" s="510"/>
      <c r="AN23" s="510"/>
      <c r="AO23" s="510"/>
      <c r="AP23" s="510"/>
      <c r="AQ23" s="510"/>
      <c r="AY23" s="1156">
        <v>14</v>
      </c>
    </row>
    <row customHeight="1" ht="26.25">
      <c r="Q24" s="377"/>
      <c r="R24" s="377"/>
      <c r="S24" s="2249" t="str">
        <f>IF(TEMPLATE_GROUP="P",PT_P_FORM_HOTVSNA_4_NAME_FORM,PT_R_FORM_HOTVSNA_16_NAME_FORM)</f>
        <v>Форма 13. Информация о предложении организации горячего водоснабжения об установлении расчетной величины тарифов в сфере горячего водоснабжения на очередной период регулирования</v>
      </c>
      <c r="T24" s="2249"/>
      <c r="U24" s="2249"/>
      <c r="V24" s="2249"/>
      <c r="W24" s="2249"/>
      <c r="X24" s="2249"/>
      <c r="Y24" s="2249"/>
      <c r="Z24" s="2249"/>
      <c r="AA24" s="2249"/>
      <c r="AB24" s="2249"/>
      <c r="AC24" s="2249"/>
      <c r="AD24" s="2249"/>
      <c r="AE24" s="2249"/>
      <c r="AF24" s="2249"/>
      <c r="AG24" s="2249"/>
      <c r="AH24" s="2249"/>
      <c r="AI24" s="2249"/>
      <c r="AJ24" s="2249"/>
      <c r="AK24" s="2249"/>
      <c r="AL24" s="2249"/>
      <c r="AM24" s="2249"/>
      <c r="AN24" s="2249"/>
      <c r="AO24" s="2249"/>
      <c r="AP24" s="2249"/>
      <c r="AQ24" s="1244"/>
      <c r="AY24" s="1156">
        <v>25</v>
      </c>
    </row>
    <row customHeight="1" ht="14.699999999999998">
      <c r="Q25" s="377"/>
      <c r="R25" s="377"/>
      <c r="S25" s="2250" t="str">
        <f>IF(org=0,"Не определено",org)</f>
        <v>ПАО "КГК"</v>
      </c>
      <c r="T25" s="2250"/>
      <c r="U25" s="2250"/>
      <c r="V25" s="2250"/>
      <c r="W25" s="2250"/>
      <c r="X25" s="2250"/>
      <c r="Y25" s="2250"/>
      <c r="Z25" s="2250"/>
      <c r="AA25" s="2250"/>
      <c r="AB25" s="2250"/>
      <c r="AC25" s="2250"/>
      <c r="AD25" s="2250"/>
      <c r="AE25" s="2250"/>
      <c r="AF25" s="2250"/>
      <c r="AG25" s="2250"/>
      <c r="AH25" s="2250"/>
      <c r="AI25" s="2250"/>
      <c r="AJ25" s="2250"/>
      <c r="AK25" s="2250"/>
      <c r="AL25" s="2250"/>
      <c r="AM25" s="2250"/>
      <c r="AN25" s="2250"/>
      <c r="AO25" s="2250"/>
      <c r="AP25" s="2250"/>
      <c r="AQ25" s="1244"/>
      <c r="AY25" s="1156">
        <v>14</v>
      </c>
    </row>
    <row customHeight="1" ht="14.25" hidden="1">
      <c r="Q26" s="377"/>
      <c r="R26" s="377"/>
      <c r="S26" s="1276"/>
      <c r="T26" s="364"/>
      <c r="U26" s="364"/>
      <c r="V26" s="323"/>
      <c r="W26" s="323"/>
      <c r="X26" s="323"/>
      <c r="Y26" s="323"/>
      <c r="Z26" s="323"/>
      <c r="AA26" s="323"/>
      <c r="AB26" s="323"/>
      <c r="AC26" s="323"/>
      <c r="AD26" s="323"/>
      <c r="AE26" s="323"/>
      <c r="AF26" s="323"/>
      <c r="AG26" s="323"/>
      <c r="AH26" s="323"/>
      <c r="AI26" s="323"/>
      <c r="AJ26" s="323"/>
      <c r="AK26" s="323"/>
      <c r="AL26" s="323"/>
      <c r="AM26" s="323"/>
      <c r="AN26" s="323"/>
      <c r="AO26" s="323"/>
      <c r="AP26" s="323"/>
      <c r="AQ26" s="323"/>
      <c r="AR26" s="510"/>
      <c r="AY26" s="1156">
        <v>0</v>
      </c>
    </row>
    <row s="1854" customFormat="1" customHeight="1" ht="25.5" hidden="1">
      <c r="A27" s="1369"/>
      <c r="B27" s="1369"/>
      <c r="C27" s="1369"/>
      <c r="D27" s="1369"/>
      <c r="E27" s="1369"/>
      <c r="F27" s="1369"/>
      <c r="G27" s="1369"/>
      <c r="H27" s="1369"/>
      <c r="I27" s="1369"/>
      <c r="J27" s="1369"/>
      <c r="K27" s="1369"/>
      <c r="L27" s="1370"/>
      <c r="M27" s="1369"/>
      <c r="N27" s="1369"/>
      <c r="O27" s="1369"/>
      <c r="S27" s="2251" t="s">
        <v>42</v>
      </c>
      <c r="T27" s="2251"/>
      <c r="U27" s="1373"/>
      <c r="V27" s="2252" t="str">
        <f>IF(TITLE_NAME_OR_PR_CHANGE="",IF(TITLE_NAME_OR_PR="","",TITLE_NAME_OR_PR),TITLE_NAME_OR_PR_CHANGE)</f>
        <v/>
      </c>
      <c r="W27" s="2252"/>
      <c r="X27" s="2252"/>
      <c r="Y27" s="2252"/>
      <c r="Z27" s="2252"/>
      <c r="AA27" s="2252"/>
      <c r="AB27" s="2252"/>
      <c r="AC27" s="2252"/>
      <c r="AD27" s="2252"/>
      <c r="AE27" s="2252"/>
      <c r="AF27" s="327"/>
      <c r="AG27" s="2252" t="str">
        <f>IF(TITLE_NAME_OR_PR_CHANGE="",IF(TITLE_NAME_OR_PR="","",TITLE_NAME_OR_PR),TITLE_NAME_OR_PR_CHANGE)</f>
        <v/>
      </c>
      <c r="AH27" s="2252"/>
      <c r="AI27" s="2252"/>
      <c r="AJ27" s="2252"/>
      <c r="AK27" s="2252"/>
      <c r="AL27" s="2252"/>
      <c r="AM27" s="2252"/>
      <c r="AN27" s="2252"/>
      <c r="AO27" s="2252"/>
      <c r="AP27" s="2252"/>
      <c r="AQ27" s="327"/>
      <c r="AR27" s="327"/>
      <c r="AS27" s="281"/>
      <c r="AT27" s="369"/>
      <c r="AU27" s="369"/>
      <c r="AV27" s="369"/>
      <c r="AW27" s="369"/>
      <c r="AX27" s="369"/>
      <c r="AY27" s="419">
        <v>0</v>
      </c>
    </row>
    <row s="1854" customFormat="1" customHeight="1" ht="18.75" hidden="1">
      <c r="A28" s="1369"/>
      <c r="B28" s="1369"/>
      <c r="C28" s="1369"/>
      <c r="D28" s="1369"/>
      <c r="E28" s="1369"/>
      <c r="F28" s="1369"/>
      <c r="G28" s="1369"/>
      <c r="H28" s="1369"/>
      <c r="I28" s="1369"/>
      <c r="J28" s="1369"/>
      <c r="K28" s="1369"/>
      <c r="L28" s="1370"/>
      <c r="M28" s="1369"/>
      <c r="N28" s="1369"/>
      <c r="O28" s="1369"/>
      <c r="S28" s="2251" t="s">
        <v>437</v>
      </c>
      <c r="T28" s="2251"/>
      <c r="U28" s="1373"/>
      <c r="V28" s="2265" t="str">
        <f>IF(TITLE_DATE_PR_CHANGE="",IF(TITLE_DATE_PR="","",TITLE_DATE_PR),TITLE_DATE_PR_CHANGE)</f>
        <v>46142</v>
      </c>
      <c r="W28" s="2265"/>
      <c r="X28" s="2265"/>
      <c r="Y28" s="2265"/>
      <c r="Z28" s="2265"/>
      <c r="AA28" s="2265"/>
      <c r="AB28" s="2265"/>
      <c r="AC28" s="2265"/>
      <c r="AD28" s="2265"/>
      <c r="AE28" s="2265"/>
      <c r="AF28" s="327"/>
      <c r="AG28" s="2265" t="str">
        <f>IF(TITLE_DATE_PR_CHANGE="",IF(TITLE_DATE_PR="","",TITLE_DATE_PR),TITLE_DATE_PR_CHANGE)</f>
        <v>46142</v>
      </c>
      <c r="AH28" s="2265"/>
      <c r="AI28" s="2265"/>
      <c r="AJ28" s="2265"/>
      <c r="AK28" s="2265"/>
      <c r="AL28" s="2265"/>
      <c r="AM28" s="2265"/>
      <c r="AN28" s="2265"/>
      <c r="AO28" s="2265"/>
      <c r="AP28" s="2265"/>
      <c r="AQ28" s="327"/>
      <c r="AR28" s="327"/>
      <c r="AS28" s="281"/>
      <c r="AT28" s="369"/>
      <c r="AU28" s="369"/>
      <c r="AV28" s="369"/>
      <c r="AW28" s="369"/>
      <c r="AX28" s="369"/>
      <c r="AY28" s="419">
        <v>0</v>
      </c>
    </row>
    <row s="1854" customFormat="1" customHeight="1" ht="18.75" hidden="1">
      <c r="A29" s="1369"/>
      <c r="B29" s="1369"/>
      <c r="C29" s="1369"/>
      <c r="D29" s="1369"/>
      <c r="E29" s="1369"/>
      <c r="F29" s="1369"/>
      <c r="G29" s="1369"/>
      <c r="H29" s="1369"/>
      <c r="I29" s="1369"/>
      <c r="J29" s="1369"/>
      <c r="K29" s="1369"/>
      <c r="L29" s="1370"/>
      <c r="M29" s="1369"/>
      <c r="N29" s="1369"/>
      <c r="O29" s="1369"/>
      <c r="S29" s="2251" t="s">
        <v>438</v>
      </c>
      <c r="T29" s="2251"/>
      <c r="U29" s="1373"/>
      <c r="V29" s="2252" t="str">
        <f>IF(TITLE_NUMBER_PR_CHANGE="",IF(TITLE_NUMBER_PR="","",TITLE_NUMBER_PR),TITLE_NUMBER_PR_CHANGE)</f>
        <v>206Т</v>
      </c>
      <c r="W29" s="2252"/>
      <c r="X29" s="2252"/>
      <c r="Y29" s="2252"/>
      <c r="Z29" s="2252"/>
      <c r="AA29" s="2252"/>
      <c r="AB29" s="2252"/>
      <c r="AC29" s="2252"/>
      <c r="AD29" s="2252"/>
      <c r="AE29" s="2252"/>
      <c r="AF29" s="327"/>
      <c r="AG29" s="2252" t="str">
        <f>IF(TITLE_NUMBER_PR_CHANGE="",IF(TITLE_NUMBER_PR="","",TITLE_NUMBER_PR),TITLE_NUMBER_PR_CHANGE)</f>
        <v>206Т</v>
      </c>
      <c r="AH29" s="2252"/>
      <c r="AI29" s="2252"/>
      <c r="AJ29" s="2252"/>
      <c r="AK29" s="2252"/>
      <c r="AL29" s="2252"/>
      <c r="AM29" s="2252"/>
      <c r="AN29" s="2252"/>
      <c r="AO29" s="2252"/>
      <c r="AP29" s="2252"/>
      <c r="AQ29" s="327"/>
      <c r="AR29" s="327"/>
      <c r="AS29" s="281"/>
      <c r="AT29" s="369"/>
      <c r="AU29" s="369"/>
      <c r="AV29" s="369"/>
      <c r="AW29" s="369"/>
      <c r="AX29" s="369"/>
      <c r="AY29" s="419">
        <v>0</v>
      </c>
    </row>
    <row s="1854" customFormat="1" customHeight="1" ht="18.75" hidden="1">
      <c r="A30" s="1369"/>
      <c r="B30" s="1369"/>
      <c r="C30" s="1369"/>
      <c r="D30" s="1369"/>
      <c r="E30" s="1369"/>
      <c r="F30" s="1369"/>
      <c r="G30" s="1369"/>
      <c r="H30" s="1369"/>
      <c r="I30" s="1369"/>
      <c r="J30" s="1369"/>
      <c r="K30" s="1369"/>
      <c r="L30" s="1370"/>
      <c r="M30" s="1369"/>
      <c r="N30" s="1369"/>
      <c r="O30" s="1369"/>
      <c r="S30" s="2251" t="s">
        <v>43</v>
      </c>
      <c r="T30" s="2251"/>
      <c r="U30" s="1373"/>
      <c r="V30" s="2252" t="str">
        <f>IF(TITLE_IST_PUB_CHANGE="",IF(TITLE_IST_PUB="","",TITLE_IST_PUB),TITLE_IST_PUB_CHANGE)</f>
        <v/>
      </c>
      <c r="W30" s="2252"/>
      <c r="X30" s="2252"/>
      <c r="Y30" s="2252"/>
      <c r="Z30" s="2252"/>
      <c r="AA30" s="2252"/>
      <c r="AB30" s="2252"/>
      <c r="AC30" s="2252"/>
      <c r="AD30" s="2252"/>
      <c r="AE30" s="2252"/>
      <c r="AF30" s="327"/>
      <c r="AG30" s="2252" t="str">
        <f>IF(TITLE_IST_PUB_CHANGE="",IF(TITLE_IST_PUB="","",TITLE_IST_PUB),TITLE_IST_PUB_CHANGE)</f>
        <v/>
      </c>
      <c r="AH30" s="2252"/>
      <c r="AI30" s="2252"/>
      <c r="AJ30" s="2252"/>
      <c r="AK30" s="2252"/>
      <c r="AL30" s="2252"/>
      <c r="AM30" s="2252"/>
      <c r="AN30" s="2252"/>
      <c r="AO30" s="2252"/>
      <c r="AP30" s="2252"/>
      <c r="AQ30" s="327"/>
      <c r="AR30" s="327"/>
      <c r="AS30" s="281"/>
      <c r="AT30" s="369"/>
      <c r="AU30" s="369"/>
      <c r="AV30" s="369"/>
      <c r="AW30" s="369"/>
      <c r="AX30" s="369"/>
      <c r="AY30" s="419">
        <v>0</v>
      </c>
    </row>
    <row customHeight="1" ht="14.25">
      <c r="Q31" s="377"/>
      <c r="R31" s="377"/>
      <c r="S31" s="1276"/>
      <c r="T31" s="364"/>
      <c r="U31" s="364"/>
      <c r="V31" s="323"/>
      <c r="W31" s="323"/>
      <c r="X31" s="323"/>
      <c r="Y31" s="323"/>
      <c r="Z31" s="323"/>
      <c r="AA31" s="323"/>
      <c r="AB31" s="323"/>
      <c r="AC31" s="323"/>
      <c r="AD31" s="323"/>
      <c r="AE31" s="323"/>
      <c r="AF31" s="323"/>
      <c r="AG31" s="323"/>
      <c r="AH31" s="323"/>
      <c r="AI31" s="323"/>
      <c r="AJ31" s="323"/>
      <c r="AK31" s="323"/>
      <c r="AL31" s="323"/>
      <c r="AM31" s="323"/>
      <c r="AN31" s="323"/>
      <c r="AO31" s="323"/>
      <c r="AP31" s="323"/>
      <c r="AQ31" s="323"/>
      <c r="AR31" s="510"/>
      <c r="AY31" s="1156">
        <v>0</v>
      </c>
    </row>
    <row s="1854" customFormat="1" customHeight="1" ht="18.75">
      <c r="A32" s="1369"/>
      <c r="B32" s="1369"/>
      <c r="C32" s="1369"/>
      <c r="D32" s="1369"/>
      <c r="E32" s="1369"/>
      <c r="F32" s="1369"/>
      <c r="G32" s="1369"/>
      <c r="H32" s="1369"/>
      <c r="I32" s="1369"/>
      <c r="J32" s="1369"/>
      <c r="K32" s="1369"/>
      <c r="L32" s="1370"/>
      <c r="M32" s="1369"/>
      <c r="N32" s="1369"/>
      <c r="O32" s="1369"/>
      <c r="S32" s="2251" t="s">
        <v>439</v>
      </c>
      <c r="T32" s="2251"/>
      <c r="U32" s="1373"/>
      <c r="V32" s="2265" t="str">
        <f>IF(TITLE_DATE_PR_CHANGE="",IF(TITLE_DATE_PR="","",TITLE_DATE_PR),TITLE_DATE_PR_CHANGE)</f>
        <v>46142</v>
      </c>
      <c r="W32" s="2265"/>
      <c r="X32" s="2265"/>
      <c r="Y32" s="2265"/>
      <c r="Z32" s="2265"/>
      <c r="AA32" s="2265"/>
      <c r="AB32" s="2265"/>
      <c r="AC32" s="2265"/>
      <c r="AD32" s="2265"/>
      <c r="AE32" s="2265"/>
      <c r="AF32" s="327"/>
      <c r="AG32" s="2265" t="str">
        <f>IF(TITLE_DATE_PR_CHANGE="",IF(TITLE_DATE_PR="","",TITLE_DATE_PR),TITLE_DATE_PR_CHANGE)</f>
        <v>46142</v>
      </c>
      <c r="AH32" s="2265"/>
      <c r="AI32" s="2265"/>
      <c r="AJ32" s="2265"/>
      <c r="AK32" s="2265"/>
      <c r="AL32" s="2265"/>
      <c r="AM32" s="2265"/>
      <c r="AN32" s="2265"/>
      <c r="AO32" s="2265"/>
      <c r="AP32" s="2265"/>
      <c r="AQ32" s="327"/>
      <c r="AR32" s="327"/>
      <c r="AS32" s="281"/>
      <c r="AT32" s="369"/>
      <c r="AU32" s="369"/>
      <c r="AV32" s="369"/>
      <c r="AW32" s="369"/>
      <c r="AX32" s="369"/>
      <c r="AY32" s="419">
        <v>0</v>
      </c>
    </row>
    <row s="1854" customFormat="1" customHeight="1" ht="18.75">
      <c r="A33" s="1369"/>
      <c r="B33" s="1369"/>
      <c r="C33" s="1369"/>
      <c r="D33" s="1369"/>
      <c r="E33" s="1369"/>
      <c r="F33" s="1369"/>
      <c r="G33" s="1369"/>
      <c r="H33" s="1369"/>
      <c r="I33" s="1369"/>
      <c r="J33" s="1369"/>
      <c r="K33" s="1369"/>
      <c r="L33" s="1370"/>
      <c r="M33" s="1369"/>
      <c r="N33" s="1369"/>
      <c r="O33" s="1369"/>
      <c r="S33" s="2251" t="s">
        <v>440</v>
      </c>
      <c r="T33" s="2251"/>
      <c r="U33" s="1373"/>
      <c r="V33" s="2252" t="str">
        <f>IF(TITLE_NUMBER_PR_CHANGE="",IF(TITLE_NUMBER_PR="","",TITLE_NUMBER_PR),TITLE_NUMBER_PR_CHANGE)</f>
        <v>206Т</v>
      </c>
      <c r="W33" s="2252"/>
      <c r="X33" s="2252"/>
      <c r="Y33" s="2252"/>
      <c r="Z33" s="2252"/>
      <c r="AA33" s="2252"/>
      <c r="AB33" s="2252"/>
      <c r="AC33" s="2252"/>
      <c r="AD33" s="2252"/>
      <c r="AE33" s="2252"/>
      <c r="AF33" s="327"/>
      <c r="AG33" s="2252" t="str">
        <f>IF(TITLE_NUMBER_PR_CHANGE="",IF(TITLE_NUMBER_PR="","",TITLE_NUMBER_PR),TITLE_NUMBER_PR_CHANGE)</f>
        <v>206Т</v>
      </c>
      <c r="AH33" s="2252"/>
      <c r="AI33" s="2252"/>
      <c r="AJ33" s="2252"/>
      <c r="AK33" s="2252"/>
      <c r="AL33" s="2252"/>
      <c r="AM33" s="2252"/>
      <c r="AN33" s="2252"/>
      <c r="AO33" s="2252"/>
      <c r="AP33" s="2252"/>
      <c r="AQ33" s="327"/>
      <c r="AR33" s="327"/>
      <c r="AS33" s="281"/>
      <c r="AT33" s="369"/>
      <c r="AU33" s="369"/>
      <c r="AV33" s="369"/>
      <c r="AW33" s="369"/>
      <c r="AX33" s="369"/>
      <c r="AY33" s="419">
        <v>0</v>
      </c>
    </row>
    <row s="1854" customFormat="1" customHeight="1" ht="1.05">
      <c r="A34" s="1369"/>
      <c r="B34" s="1369"/>
      <c r="C34" s="1369"/>
      <c r="D34" s="1369"/>
      <c r="E34" s="1369"/>
      <c r="F34" s="1369"/>
      <c r="G34" s="1369"/>
      <c r="H34" s="1369"/>
      <c r="I34" s="1369"/>
      <c r="J34" s="1369"/>
      <c r="K34" s="1369"/>
      <c r="L34" s="1370"/>
      <c r="M34" s="1369"/>
      <c r="N34" s="1369"/>
      <c r="O34" s="1369"/>
      <c r="S34" s="324"/>
      <c r="T34" s="324"/>
      <c r="U34" s="1489"/>
      <c r="V34" s="327"/>
      <c r="W34" s="1636"/>
      <c r="X34" s="1636"/>
      <c r="Y34" s="1636"/>
      <c r="Z34" s="1636"/>
      <c r="AA34" s="1636"/>
      <c r="AB34" s="327"/>
      <c r="AC34" s="327"/>
      <c r="AD34" s="327"/>
      <c r="AE34" s="327"/>
      <c r="AF34" s="279" t="s">
        <v>441</v>
      </c>
      <c r="AG34" s="327"/>
      <c r="AH34" s="1636"/>
      <c r="AI34" s="1636"/>
      <c r="AJ34" s="1636"/>
      <c r="AK34" s="1636"/>
      <c r="AL34" s="1636"/>
      <c r="AM34" s="327"/>
      <c r="AN34" s="327"/>
      <c r="AO34" s="327"/>
      <c r="AP34" s="327"/>
      <c r="AQ34" s="279" t="s">
        <v>441</v>
      </c>
      <c r="AT34" s="369"/>
      <c r="AU34" s="369"/>
      <c r="AV34" s="369"/>
      <c r="AW34" s="369"/>
      <c r="AX34" s="369"/>
      <c r="AY34" s="419">
        <v>1</v>
      </c>
    </row>
    <row customHeight="1" ht="14.699999999999998">
      <c r="Q35" s="377"/>
      <c r="R35" s="377"/>
      <c r="S35" s="1276"/>
      <c r="T35" s="364"/>
      <c r="U35" s="1245"/>
      <c r="V35" s="2253"/>
      <c r="W35" s="2253"/>
      <c r="X35" s="2253"/>
      <c r="Y35" s="2253"/>
      <c r="Z35" s="2253"/>
      <c r="AA35" s="2253"/>
      <c r="AB35" s="2253"/>
      <c r="AC35" s="2253"/>
      <c r="AD35" s="2253"/>
      <c r="AE35" s="2253"/>
      <c r="AF35" s="2253"/>
      <c r="AG35" s="2253"/>
      <c r="AH35" s="2253"/>
      <c r="AI35" s="2253"/>
      <c r="AJ35" s="2253"/>
      <c r="AK35" s="2253"/>
      <c r="AL35" s="2253"/>
      <c r="AM35" s="2253"/>
      <c r="AN35" s="2253"/>
      <c r="AO35" s="2253"/>
      <c r="AP35" s="2253"/>
      <c r="AQ35" s="2253"/>
      <c r="AY35" s="1156">
        <v>14</v>
      </c>
    </row>
    <row customHeight="1" ht="14.699999999999998">
      <c r="Q36" s="377"/>
      <c r="R36" s="377"/>
      <c r="S36" s="2128" t="s">
        <v>317</v>
      </c>
      <c r="T36" s="2128"/>
      <c r="U36" s="2128"/>
      <c r="V36" s="2128"/>
      <c r="W36" s="2128"/>
      <c r="X36" s="2128"/>
      <c r="Y36" s="2128"/>
      <c r="Z36" s="2128"/>
      <c r="AA36" s="2128"/>
      <c r="AB36" s="2128"/>
      <c r="AC36" s="2128"/>
      <c r="AD36" s="2128"/>
      <c r="AE36" s="2128"/>
      <c r="AF36" s="2128"/>
      <c r="AG36" s="2128"/>
      <c r="AH36" s="2128"/>
      <c r="AI36" s="2128"/>
      <c r="AJ36" s="2128"/>
      <c r="AK36" s="2128"/>
      <c r="AL36" s="2128"/>
      <c r="AM36" s="2128"/>
      <c r="AN36" s="2128"/>
      <c r="AO36" s="2128"/>
      <c r="AP36" s="2128"/>
      <c r="AQ36" s="2128"/>
      <c r="AR36" s="2128"/>
      <c r="AS36" s="2128" t="s">
        <v>318</v>
      </c>
      <c r="AY36" s="1156">
        <v>14</v>
      </c>
    </row>
    <row customHeight="1" ht="14.699999999999998">
      <c r="Q37" s="377"/>
      <c r="R37" s="377"/>
      <c r="S37" s="2274" t="s">
        <v>89</v>
      </c>
      <c r="T37" s="2210" t="s">
        <v>442</v>
      </c>
      <c r="U37" s="302"/>
      <c r="V37" s="2275" t="s">
        <v>443</v>
      </c>
      <c r="W37" s="2276"/>
      <c r="X37" s="2276"/>
      <c r="Y37" s="2276"/>
      <c r="Z37" s="2276"/>
      <c r="AA37" s="2276"/>
      <c r="AB37" s="2276"/>
      <c r="AC37" s="2276"/>
      <c r="AD37" s="2276"/>
      <c r="AE37" s="2277"/>
      <c r="AF37" s="2278" t="s">
        <v>444</v>
      </c>
      <c r="AG37" s="2275" t="s">
        <v>443</v>
      </c>
      <c r="AH37" s="2276"/>
      <c r="AI37" s="2276"/>
      <c r="AJ37" s="2276"/>
      <c r="AK37" s="2276"/>
      <c r="AL37" s="2276"/>
      <c r="AM37" s="2276"/>
      <c r="AN37" s="2276"/>
      <c r="AO37" s="2276"/>
      <c r="AP37" s="2277"/>
      <c r="AQ37" s="2278" t="s">
        <v>445</v>
      </c>
      <c r="AR37" s="2281" t="s">
        <v>446</v>
      </c>
      <c r="AS37" s="2128"/>
      <c r="AY37" s="1156">
        <v>14</v>
      </c>
    </row>
    <row s="1636" customFormat="1" customHeight="1" ht="19.95">
      <c r="A38" s="1367"/>
      <c r="B38" s="1367"/>
      <c r="C38" s="1367"/>
      <c r="D38" s="1367"/>
      <c r="E38" s="1367"/>
      <c r="F38" s="1367"/>
      <c r="G38" s="1367"/>
      <c r="H38" s="1367"/>
      <c r="I38" s="1367"/>
      <c r="J38" s="1367"/>
      <c r="K38" s="1367"/>
      <c r="L38" s="1981"/>
      <c r="M38" s="1363"/>
      <c r="N38" s="1363"/>
      <c r="O38" s="1363"/>
      <c r="P38" s="1982"/>
      <c r="Q38" s="377"/>
      <c r="R38" s="377"/>
      <c r="S38" s="2274"/>
      <c r="T38" s="2210"/>
      <c r="U38" s="1032"/>
      <c r="V38" s="2367" t="s">
        <v>551</v>
      </c>
      <c r="W38" s="2366" t="s">
        <v>552</v>
      </c>
      <c r="X38" s="2366"/>
      <c r="Y38" s="2366"/>
      <c r="Z38" s="2366" t="s">
        <v>553</v>
      </c>
      <c r="AA38" s="2366"/>
      <c r="AB38" s="2366"/>
      <c r="AC38" s="2295" t="s">
        <v>450</v>
      </c>
      <c r="AD38" s="2314"/>
      <c r="AE38" s="2315"/>
      <c r="AF38" s="2279"/>
      <c r="AG38" s="2367" t="s">
        <v>551</v>
      </c>
      <c r="AH38" s="2366" t="s">
        <v>552</v>
      </c>
      <c r="AI38" s="2366"/>
      <c r="AJ38" s="2366"/>
      <c r="AK38" s="2366" t="s">
        <v>553</v>
      </c>
      <c r="AL38" s="2366"/>
      <c r="AM38" s="2366"/>
      <c r="AN38" s="2295" t="s">
        <v>450</v>
      </c>
      <c r="AO38" s="2314"/>
      <c r="AP38" s="2315"/>
      <c r="AQ38" s="2279"/>
      <c r="AR38" s="2282"/>
      <c r="AS38" s="2128"/>
      <c r="AT38" s="1637"/>
      <c r="AU38" s="1637"/>
      <c r="AV38" s="1637"/>
      <c r="AW38" s="1637"/>
      <c r="AX38" s="1637"/>
      <c r="AY38" s="1632">
        <v>19</v>
      </c>
    </row>
    <row customHeight="1" ht="19.95">
      <c r="Q39" s="377"/>
      <c r="R39" s="377"/>
      <c r="S39" s="2274"/>
      <c r="T39" s="2210"/>
      <c r="U39" s="1032"/>
      <c r="V39" s="2367"/>
      <c r="W39" s="2366" t="s">
        <v>554</v>
      </c>
      <c r="X39" s="2366" t="s">
        <v>555</v>
      </c>
      <c r="Y39" s="2366"/>
      <c r="Z39" s="2366" t="s">
        <v>556</v>
      </c>
      <c r="AA39" s="2366" t="s">
        <v>555</v>
      </c>
      <c r="AB39" s="2366"/>
      <c r="AC39" s="2296"/>
      <c r="AD39" s="2316"/>
      <c r="AE39" s="2317"/>
      <c r="AF39" s="2279"/>
      <c r="AG39" s="2367"/>
      <c r="AH39" s="2366" t="s">
        <v>554</v>
      </c>
      <c r="AI39" s="2366" t="s">
        <v>555</v>
      </c>
      <c r="AJ39" s="2366"/>
      <c r="AK39" s="2366" t="s">
        <v>556</v>
      </c>
      <c r="AL39" s="2366" t="s">
        <v>555</v>
      </c>
      <c r="AM39" s="2366"/>
      <c r="AN39" s="2296"/>
      <c r="AO39" s="2316"/>
      <c r="AP39" s="2317"/>
      <c r="AQ39" s="2279"/>
      <c r="AR39" s="2282"/>
      <c r="AS39" s="2128"/>
      <c r="AY39" s="1156">
        <v>19</v>
      </c>
    </row>
    <row customHeight="1" ht="61.949999999999996">
      <c r="A40" s="1371"/>
      <c r="B40" s="1371" t="s">
        <v>143</v>
      </c>
      <c r="C40" s="1371" t="s">
        <v>144</v>
      </c>
      <c r="D40" s="1371" t="s">
        <v>145</v>
      </c>
      <c r="E40" s="1365" t="s">
        <v>451</v>
      </c>
      <c r="F40" s="1365" t="s">
        <v>452</v>
      </c>
      <c r="G40" s="1365" t="s">
        <v>453</v>
      </c>
      <c r="H40" s="1365"/>
      <c r="I40" s="1365" t="s">
        <v>509</v>
      </c>
      <c r="J40" s="1365" t="s">
        <v>456</v>
      </c>
      <c r="K40" s="1365" t="s">
        <v>510</v>
      </c>
      <c r="L40" s="1365" t="s">
        <v>432</v>
      </c>
      <c r="Q40" s="377"/>
      <c r="R40" s="377"/>
      <c r="S40" s="2274"/>
      <c r="T40" s="2210"/>
      <c r="U40" s="303"/>
      <c r="V40" s="2367"/>
      <c r="W40" s="2366"/>
      <c r="X40" s="1984" t="s">
        <v>557</v>
      </c>
      <c r="Y40" s="1984" t="s">
        <v>558</v>
      </c>
      <c r="Z40" s="2366"/>
      <c r="AA40" s="1984" t="s">
        <v>559</v>
      </c>
      <c r="AB40" s="1984" t="s">
        <v>560</v>
      </c>
      <c r="AC40" s="1490" t="s">
        <v>460</v>
      </c>
      <c r="AD40" s="2271" t="s">
        <v>461</v>
      </c>
      <c r="AE40" s="2272"/>
      <c r="AF40" s="2280"/>
      <c r="AG40" s="2367"/>
      <c r="AH40" s="2366"/>
      <c r="AI40" s="1984" t="s">
        <v>557</v>
      </c>
      <c r="AJ40" s="1984" t="s">
        <v>558</v>
      </c>
      <c r="AK40" s="2366"/>
      <c r="AL40" s="1984" t="s">
        <v>559</v>
      </c>
      <c r="AM40" s="1984" t="s">
        <v>560</v>
      </c>
      <c r="AN40" s="1490" t="s">
        <v>460</v>
      </c>
      <c r="AO40" s="2271" t="s">
        <v>461</v>
      </c>
      <c r="AP40" s="2272"/>
      <c r="AQ40" s="2280"/>
      <c r="AR40" s="2283"/>
      <c r="AS40" s="2128"/>
      <c r="AY40" s="1156">
        <v>59</v>
      </c>
    </row>
    <row s="1642" customFormat="1" customHeight="1" ht="11.25" hidden="1">
      <c r="A41" s="1371"/>
      <c r="B41" s="1371"/>
      <c r="C41" s="1371"/>
      <c r="D41" s="1371"/>
      <c r="E41" s="1371"/>
      <c r="F41" s="1371"/>
      <c r="G41" s="1371"/>
      <c r="H41" s="1371"/>
      <c r="I41" s="1371"/>
      <c r="J41" s="1371"/>
      <c r="K41" s="1371"/>
      <c r="L41" s="1365"/>
      <c r="M41" s="1363"/>
      <c r="N41" s="1363"/>
      <c r="O41" s="1363"/>
      <c r="P41" s="1247"/>
      <c r="Q41" s="1248"/>
      <c r="R41" s="1255">
        <v>1</v>
      </c>
      <c r="S41" s="1278" t="s">
        <v>118</v>
      </c>
      <c r="T41" s="1256" t="s">
        <v>103</v>
      </c>
      <c r="U41" s="1246" t="str">
        <f>OFFSET(U41,0,-1)</f>
        <v>2</v>
      </c>
      <c r="V41" s="1483">
        <f>OFFSET(V41,0,-1)+1</f>
        <v>3</v>
      </c>
      <c r="W41" s="1980"/>
      <c r="X41" s="1980"/>
      <c r="Y41" s="1980"/>
      <c r="Z41" s="1980"/>
      <c r="AA41" s="1980"/>
      <c r="AB41" s="1483">
        <f>OFFSET(AB41,0,-1)+1</f>
        <v>1</v>
      </c>
      <c r="AC41" s="1483">
        <f>OFFSET(AC41,0,-1)+1</f>
        <v>2</v>
      </c>
      <c r="AD41" s="2273">
        <f>OFFSET(AD41,0,-1)+1</f>
        <v>3</v>
      </c>
      <c r="AE41" s="2273"/>
      <c r="AF41" s="1483">
        <f>OFFSET(AF41,0,-2)+1</f>
        <v>4</v>
      </c>
      <c r="AG41" s="1483">
        <f>OFFSET(AG41,0,-1)+1</f>
        <v>5</v>
      </c>
      <c r="AH41" s="1980"/>
      <c r="AI41" s="1980"/>
      <c r="AJ41" s="1980"/>
      <c r="AK41" s="1980"/>
      <c r="AL41" s="1980"/>
      <c r="AM41" s="1483">
        <f>OFFSET(AM41,0,-1)+1</f>
        <v>1</v>
      </c>
      <c r="AN41" s="1483">
        <f>OFFSET(AN41,0,-1)+1</f>
        <v>2</v>
      </c>
      <c r="AO41" s="2273">
        <f>OFFSET(AO41,0,-1)+1</f>
        <v>3</v>
      </c>
      <c r="AP41" s="2273"/>
      <c r="AQ41" s="1483">
        <f>OFFSET(AQ41,0,-2)+1</f>
        <v>4</v>
      </c>
      <c r="AR41" s="1246">
        <f>OFFSET(AR41,0,-1)</f>
        <v>4</v>
      </c>
      <c r="AS41" s="1483">
        <f>OFFSET(AS41,0,-1)+1</f>
        <v>5</v>
      </c>
      <c r="AT41" s="512"/>
      <c r="AU41" s="512"/>
      <c r="AV41" s="512"/>
      <c r="AW41" s="512"/>
      <c r="AX41" s="512"/>
      <c r="AY41" s="497">
        <v>0</v>
      </c>
    </row>
    <row customHeight="1" ht="24">
      <c r="A42" s="1364" t="s">
        <v>273</v>
      </c>
      <c r="B42" s="1364"/>
      <c r="C42" s="1364"/>
      <c r="D42" s="1364"/>
      <c r="E42" s="2259">
        <v>1</v>
      </c>
      <c r="F42" s="1364"/>
      <c r="G42" s="1364"/>
      <c r="H42" s="1364"/>
      <c r="I42" s="1364"/>
      <c r="J42" s="1364"/>
      <c r="K42" s="1364"/>
      <c r="L42" s="1365"/>
      <c r="M42" s="1366"/>
      <c r="N42" s="1366"/>
      <c r="O42" s="1366"/>
      <c r="P42" s="362"/>
      <c r="Q42" s="361"/>
      <c r="R42" s="356"/>
      <c r="S42" s="1494">
        <f>INDEX(PT_DIFFERENTIATION_NUM_NTAR,MATCH(A42,PT_DIFFERENTIATION_NTAR_ID,0))</f>
        <v>0</v>
      </c>
      <c r="T42" s="299" t="s">
        <v>131</v>
      </c>
      <c r="U42" s="301"/>
      <c r="V42" s="2243"/>
      <c r="W42" s="2244"/>
      <c r="X42" s="2244"/>
      <c r="Y42" s="2244"/>
      <c r="Z42" s="2244"/>
      <c r="AA42" s="2244"/>
      <c r="AB42" s="2244"/>
      <c r="AC42" s="2244"/>
      <c r="AD42" s="2244"/>
      <c r="AE42" s="2244"/>
      <c r="AF42" s="2245"/>
      <c r="AG42" s="2243" t="str">
        <f>INDEX(PT_DIFFERENTIATION_NTAR,MATCH(A42,PT_DIFFERENTIATION_NTAR_ID,0))</f>
        <v/>
      </c>
      <c r="AH42" s="2244"/>
      <c r="AI42" s="2244"/>
      <c r="AJ42" s="2244"/>
      <c r="AK42" s="2244"/>
      <c r="AL42" s="2244"/>
      <c r="AM42" s="2244"/>
      <c r="AN42" s="2244"/>
      <c r="AO42" s="2244"/>
      <c r="AP42" s="2244"/>
      <c r="AQ42" s="2244"/>
      <c r="AR42" s="2245"/>
      <c r="AS42" s="1259"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U42" s="501"/>
      <c r="AV42" s="501" t="str">
        <f>IF(T42="","",T42)</f>
        <v>Наименование тарифа</v>
      </c>
      <c r="AW42" s="501"/>
      <c r="AX42" s="501"/>
      <c r="AY42" s="1156">
        <v>23</v>
      </c>
    </row>
    <row customHeight="1" ht="24">
      <c r="A43" s="1364" t="s">
        <v>273</v>
      </c>
      <c r="B43" s="1364" t="s">
        <v>274</v>
      </c>
      <c r="C43" s="1364"/>
      <c r="D43" s="1364"/>
      <c r="E43" s="2260"/>
      <c r="F43" s="2259">
        <v>1</v>
      </c>
      <c r="G43" s="1364"/>
      <c r="H43" s="1364"/>
      <c r="I43" s="1364"/>
      <c r="J43" s="1364"/>
      <c r="K43" s="1364"/>
      <c r="L43" s="1365"/>
      <c r="M43" s="1366"/>
      <c r="N43" s="1366"/>
      <c r="O43" s="1366"/>
      <c r="P43" s="1488"/>
      <c r="Q43" s="353"/>
      <c r="R43" s="354"/>
      <c r="S43" s="1494" t="str">
        <f>INDEX(PT_DIFFERENTIATION_NUM_TER,MATCH(B43,PT_DIFFERENTIATION_TER_ID,0))</f>
        <v>.</v>
      </c>
      <c r="T43" s="309" t="s">
        <v>414</v>
      </c>
      <c r="U43" s="301"/>
      <c r="V43" s="2243"/>
      <c r="W43" s="2244"/>
      <c r="X43" s="2244"/>
      <c r="Y43" s="2244"/>
      <c r="Z43" s="2244"/>
      <c r="AA43" s="2244"/>
      <c r="AB43" s="2244"/>
      <c r="AC43" s="2244"/>
      <c r="AD43" s="2244"/>
      <c r="AE43" s="2244"/>
      <c r="AF43" s="2245"/>
      <c r="AG43" s="2243" t="str">
        <f>INDEX(PT_DIFFERENTIATION_TER,MATCH(B43,PT_DIFFERENTIATION_TER_ID,0))</f>
        <v/>
      </c>
      <c r="AH43" s="2244"/>
      <c r="AI43" s="2244"/>
      <c r="AJ43" s="2244"/>
      <c r="AK43" s="2244"/>
      <c r="AL43" s="2244"/>
      <c r="AM43" s="2244"/>
      <c r="AN43" s="2244"/>
      <c r="AO43" s="2244"/>
      <c r="AP43" s="2244"/>
      <c r="AQ43" s="2244"/>
      <c r="AR43" s="2245"/>
      <c r="AS43" s="1259" t="s">
        <v>415</v>
      </c>
      <c r="AU43" s="501"/>
      <c r="AV43" s="501" t="str">
        <f>IF(T43="","",T43)</f>
        <v>Территория действия тарифа</v>
      </c>
      <c r="AW43" s="501"/>
      <c r="AX43" s="501"/>
      <c r="AY43" s="1156">
        <v>23</v>
      </c>
    </row>
    <row customHeight="1" ht="24">
      <c r="A44" s="1364" t="s">
        <v>273</v>
      </c>
      <c r="B44" s="1364" t="s">
        <v>274</v>
      </c>
      <c r="C44" s="1364" t="s">
        <v>275</v>
      </c>
      <c r="D44" s="1364"/>
      <c r="E44" s="2260"/>
      <c r="F44" s="2260"/>
      <c r="G44" s="2259">
        <v>1</v>
      </c>
      <c r="H44" s="1364"/>
      <c r="I44" s="1364"/>
      <c r="J44" s="1364"/>
      <c r="K44" s="1364"/>
      <c r="L44" s="1365"/>
      <c r="M44" s="1366"/>
      <c r="N44" s="1366"/>
      <c r="O44" s="1366"/>
      <c r="P44" s="355"/>
      <c r="Q44" s="353"/>
      <c r="R44" s="354"/>
      <c r="S44" s="1494" t="str">
        <f>INDEX(PT_DIFFERENTIATION_NUM_CS,MATCH(C44,PT_DIFFERENTIATION_CS_ID,0))</f>
        <v>..</v>
      </c>
      <c r="T44" s="310" t="s">
        <v>549</v>
      </c>
      <c r="U44" s="301"/>
      <c r="V44" s="2243"/>
      <c r="W44" s="2244"/>
      <c r="X44" s="2244"/>
      <c r="Y44" s="2244"/>
      <c r="Z44" s="2244"/>
      <c r="AA44" s="2244"/>
      <c r="AB44" s="2244"/>
      <c r="AC44" s="2244"/>
      <c r="AD44" s="2244"/>
      <c r="AE44" s="2244"/>
      <c r="AF44" s="2245"/>
      <c r="AG44" s="2243" t="str">
        <f>INDEX(PT_DIFFERENTIATION_CS,MATCH(C44,PT_DIFFERENTIATION_CS_ID,0))</f>
        <v/>
      </c>
      <c r="AH44" s="2244"/>
      <c r="AI44" s="2244"/>
      <c r="AJ44" s="2244"/>
      <c r="AK44" s="2244"/>
      <c r="AL44" s="2244"/>
      <c r="AM44" s="2244"/>
      <c r="AN44" s="2244"/>
      <c r="AO44" s="2244"/>
      <c r="AP44" s="2244"/>
      <c r="AQ44" s="2244"/>
      <c r="AR44" s="2245"/>
      <c r="AS44" s="1259" t="s">
        <v>550</v>
      </c>
      <c r="AU44" s="501"/>
      <c r="AV44" s="501" t="str">
        <f>IF(T44="","",T44)</f>
        <v>Наименование централизованной системы горячего водоснабжения</v>
      </c>
      <c r="AW44" s="501"/>
      <c r="AX44" s="501"/>
      <c r="AY44" s="1156">
        <v>23</v>
      </c>
    </row>
    <row customHeight="1" ht="24">
      <c r="A45" s="1364" t="s">
        <v>273</v>
      </c>
      <c r="B45" s="1364" t="s">
        <v>274</v>
      </c>
      <c r="C45" s="1364" t="s">
        <v>275</v>
      </c>
      <c r="D45" s="1364" t="s">
        <v>562</v>
      </c>
      <c r="E45" s="2260"/>
      <c r="F45" s="2260"/>
      <c r="G45" s="2260"/>
      <c r="H45" s="2260"/>
      <c r="I45" s="2257" t="str">
        <f>S44&amp;".1"</f>
        <v>...1</v>
      </c>
      <c r="J45" s="1364"/>
      <c r="K45" s="1364"/>
      <c r="L45" s="1365"/>
      <c r="P45" s="2258">
        <v>1</v>
      </c>
      <c r="Q45" s="1482"/>
      <c r="R45" s="357"/>
      <c r="S45" s="1494" t="str">
        <f>$I45</f>
        <v>...1</v>
      </c>
      <c r="T45" s="286" t="s">
        <v>502</v>
      </c>
      <c r="U45" s="301"/>
      <c r="V45" s="2351"/>
      <c r="W45" s="2352"/>
      <c r="X45" s="2352"/>
      <c r="Y45" s="2352"/>
      <c r="Z45" s="2352"/>
      <c r="AA45" s="2352"/>
      <c r="AB45" s="2352"/>
      <c r="AC45" s="2352"/>
      <c r="AD45" s="2352"/>
      <c r="AE45" s="2352"/>
      <c r="AF45" s="2353"/>
      <c r="AG45" s="2354"/>
      <c r="AH45" s="2355"/>
      <c r="AI45" s="2355"/>
      <c r="AJ45" s="2355"/>
      <c r="AK45" s="2355"/>
      <c r="AL45" s="2355"/>
      <c r="AM45" s="2355"/>
      <c r="AN45" s="2355"/>
      <c r="AO45" s="2355"/>
      <c r="AP45" s="2355"/>
      <c r="AQ45" s="2355"/>
      <c r="AR45" s="2356"/>
      <c r="AS45" s="1259" t="s">
        <v>503</v>
      </c>
      <c r="AU45" s="501"/>
      <c r="AV45" s="501" t="str">
        <f>IF(T45="","",T45)</f>
        <v>Наименование признака дифференциации</v>
      </c>
      <c r="AW45" s="501"/>
      <c r="AX45" s="501"/>
      <c r="AY45" s="1156">
        <v>23</v>
      </c>
    </row>
    <row customHeight="1" ht="24">
      <c r="A46" s="1364" t="s">
        <v>273</v>
      </c>
      <c r="B46" s="1364" t="s">
        <v>274</v>
      </c>
      <c r="C46" s="1364" t="s">
        <v>275</v>
      </c>
      <c r="D46" s="1364" t="s">
        <v>562</v>
      </c>
      <c r="E46" s="2260"/>
      <c r="F46" s="2260"/>
      <c r="G46" s="2260"/>
      <c r="H46" s="2260"/>
      <c r="I46" s="2287"/>
      <c r="J46" s="2257" t="str">
        <f>I45&amp;".1"</f>
        <v>...1.1</v>
      </c>
      <c r="K46" s="1364"/>
      <c r="L46" s="1365" t="s">
        <v>423</v>
      </c>
      <c r="P46" s="2258"/>
      <c r="Q46" s="2258">
        <v>1</v>
      </c>
      <c r="R46" s="358"/>
      <c r="S46" s="1494" t="str">
        <f>$J46</f>
        <v>...1.1</v>
      </c>
      <c r="T46" s="287" t="s">
        <v>424</v>
      </c>
      <c r="U46" s="301"/>
      <c r="V46" s="2246"/>
      <c r="W46" s="2247"/>
      <c r="X46" s="2247"/>
      <c r="Y46" s="2247"/>
      <c r="Z46" s="2247"/>
      <c r="AA46" s="2247"/>
      <c r="AB46" s="2247"/>
      <c r="AC46" s="2247"/>
      <c r="AD46" s="2247"/>
      <c r="AE46" s="2247"/>
      <c r="AF46" s="2248"/>
      <c r="AG46" s="2246"/>
      <c r="AH46" s="2247"/>
      <c r="AI46" s="2247"/>
      <c r="AJ46" s="2247"/>
      <c r="AK46" s="2247"/>
      <c r="AL46" s="2247"/>
      <c r="AM46" s="2247"/>
      <c r="AN46" s="2247"/>
      <c r="AO46" s="2247"/>
      <c r="AP46" s="2247"/>
      <c r="AQ46" s="2247"/>
      <c r="AR46" s="2248"/>
      <c r="AS46" s="1308" t="s">
        <v>504</v>
      </c>
      <c r="AU46" s="501"/>
      <c r="AV46" s="501" t="str">
        <f>IF(T46="","",T46)</f>
        <v>Группа потребителей</v>
      </c>
      <c r="AW46" s="501"/>
      <c r="AX46" s="501"/>
      <c r="AY46" s="1156">
        <v>23</v>
      </c>
    </row>
    <row customHeight="1" ht="24">
      <c r="A47" s="1364" t="s">
        <v>273</v>
      </c>
      <c r="B47" s="1364" t="s">
        <v>274</v>
      </c>
      <c r="C47" s="1364" t="s">
        <v>275</v>
      </c>
      <c r="D47" s="1364" t="s">
        <v>562</v>
      </c>
      <c r="E47" s="2260"/>
      <c r="F47" s="2260"/>
      <c r="G47" s="2260"/>
      <c r="H47" s="2260"/>
      <c r="I47" s="2287"/>
      <c r="J47" s="2287"/>
      <c r="K47" s="2257" t="str">
        <f>J46&amp;".1"</f>
        <v>...1.1.1</v>
      </c>
      <c r="L47" s="1365"/>
      <c r="P47" s="2258"/>
      <c r="Q47" s="2258"/>
      <c r="R47" s="358">
        <v>1</v>
      </c>
      <c r="S47" s="1494" t="str">
        <f>$K47</f>
        <v>...1.1.1</v>
      </c>
      <c r="T47" s="1438"/>
      <c r="U47" s="301"/>
      <c r="V47" s="1361"/>
      <c r="W47" s="1361"/>
      <c r="X47" s="1361"/>
      <c r="Y47" s="1361"/>
      <c r="Z47" s="1361"/>
      <c r="AA47" s="1361"/>
      <c r="AB47" s="1362"/>
      <c r="AC47" s="2268"/>
      <c r="AD47" s="2269" t="s">
        <v>61</v>
      </c>
      <c r="AE47" s="2268"/>
      <c r="AF47" s="2269" t="s">
        <v>61</v>
      </c>
      <c r="AG47" s="752"/>
      <c r="AH47" s="752"/>
      <c r="AI47" s="752"/>
      <c r="AJ47" s="752"/>
      <c r="AK47" s="752"/>
      <c r="AL47" s="752"/>
      <c r="AM47" s="1258"/>
      <c r="AN47" s="2266"/>
      <c r="AO47" s="2108" t="s">
        <v>61</v>
      </c>
      <c r="AP47" s="2288"/>
      <c r="AQ47" s="2108" t="s">
        <v>19</v>
      </c>
      <c r="AR47" s="1439"/>
      <c r="AS47" s="2350"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T47" s="512">
        <f>STRCHECKDATE(V48:AR48)</f>
      </c>
      <c r="AU47" s="501"/>
      <c r="AV47" s="501" t="str">
        <f>IF(T47="","",T47)</f>
        <v/>
      </c>
      <c r="AW47" s="501"/>
      <c r="AX47" s="501"/>
      <c r="AY47" s="1156">
        <v>23</v>
      </c>
    </row>
    <row customHeight="1" ht="0">
      <c r="A48" s="1364" t="s">
        <v>273</v>
      </c>
      <c r="B48" s="1364" t="s">
        <v>274</v>
      </c>
      <c r="C48" s="1364" t="s">
        <v>275</v>
      </c>
      <c r="D48" s="1364" t="s">
        <v>562</v>
      </c>
      <c r="E48" s="2260"/>
      <c r="F48" s="2260"/>
      <c r="G48" s="2260"/>
      <c r="H48" s="2260"/>
      <c r="I48" s="2287"/>
      <c r="J48" s="2287"/>
      <c r="K48" s="2257"/>
      <c r="L48" s="1365"/>
      <c r="P48" s="2258"/>
      <c r="Q48" s="2258"/>
      <c r="R48" s="358"/>
      <c r="S48" s="1491"/>
      <c r="T48" s="301"/>
      <c r="U48" s="301"/>
      <c r="V48" s="1361"/>
      <c r="W48" s="1361"/>
      <c r="X48" s="1361"/>
      <c r="Y48" s="1361"/>
      <c r="Z48" s="1361"/>
      <c r="AA48" s="1361"/>
      <c r="AB48" s="329" t="str">
        <f>AC47&amp;"-"&amp;AE47</f>
        <v>-</v>
      </c>
      <c r="AC48" s="2269"/>
      <c r="AD48" s="2269"/>
      <c r="AE48" s="2269"/>
      <c r="AF48" s="2269"/>
      <c r="AG48" s="326"/>
      <c r="AH48" s="326"/>
      <c r="AI48" s="326"/>
      <c r="AJ48" s="326"/>
      <c r="AK48" s="326"/>
      <c r="AL48" s="326"/>
      <c r="AM48" s="329" t="str">
        <f>AN47&amp;"-"&amp;AP47</f>
        <v>-</v>
      </c>
      <c r="AN48" s="2267"/>
      <c r="AO48" s="2108"/>
      <c r="AP48" s="2289"/>
      <c r="AQ48" s="2108"/>
      <c r="AR48" s="1440"/>
      <c r="AS48" s="2350"/>
      <c r="AU48" s="501"/>
      <c r="AV48" s="501" t="str">
        <f>IF(T48="","",T48)</f>
        <v/>
      </c>
      <c r="AW48" s="501"/>
      <c r="AX48" s="501"/>
      <c r="AY48" s="1156">
        <v>0</v>
      </c>
    </row>
    <row customHeight="1" ht="21">
      <c r="A49" s="1364" t="s">
        <v>273</v>
      </c>
      <c r="B49" s="1364" t="s">
        <v>274</v>
      </c>
      <c r="C49" s="1364" t="s">
        <v>275</v>
      </c>
      <c r="D49" s="1364" t="s">
        <v>562</v>
      </c>
      <c r="E49" s="2260"/>
      <c r="F49" s="2260"/>
      <c r="G49" s="2260"/>
      <c r="H49" s="2260"/>
      <c r="I49" s="2287"/>
      <c r="J49" s="2257"/>
      <c r="K49" s="1364"/>
      <c r="L49" s="1365"/>
      <c r="P49" s="2258"/>
      <c r="Q49" s="2258"/>
      <c r="R49" s="357"/>
      <c r="S49" s="1279"/>
      <c r="T49" s="288" t="s">
        <v>505</v>
      </c>
      <c r="U49" s="368"/>
      <c r="V49" s="368"/>
      <c r="W49" s="601"/>
      <c r="X49" s="601"/>
      <c r="Y49" s="601"/>
      <c r="Z49" s="601"/>
      <c r="AA49" s="601"/>
      <c r="AB49" s="368"/>
      <c r="AC49" s="368"/>
      <c r="AD49" s="368"/>
      <c r="AE49" s="368"/>
      <c r="AF49" s="368"/>
      <c r="AG49" s="368"/>
      <c r="AH49" s="601"/>
      <c r="AI49" s="601"/>
      <c r="AJ49" s="601"/>
      <c r="AK49" s="601"/>
      <c r="AL49" s="601"/>
      <c r="AM49" s="368"/>
      <c r="AN49" s="368"/>
      <c r="AO49" s="368"/>
      <c r="AP49" s="368"/>
      <c r="AQ49" s="368"/>
      <c r="AR49" s="368"/>
      <c r="AS49" s="1259" t="s">
        <v>506</v>
      </c>
      <c r="AU49" s="501"/>
      <c r="AV49" s="501" t="str">
        <f>IF(T49="","",T49)</f>
        <v>Добавить значение признака дифференциации</v>
      </c>
      <c r="AW49" s="501"/>
      <c r="AX49" s="501"/>
      <c r="AY49" s="1156">
        <v>20</v>
      </c>
    </row>
    <row customHeight="1" ht="22.049999999999997">
      <c r="A50" s="1364" t="s">
        <v>273</v>
      </c>
      <c r="B50" s="1364" t="s">
        <v>274</v>
      </c>
      <c r="C50" s="1364" t="s">
        <v>275</v>
      </c>
      <c r="D50" s="1364" t="s">
        <v>562</v>
      </c>
      <c r="E50" s="2260"/>
      <c r="F50" s="2260"/>
      <c r="G50" s="2260"/>
      <c r="H50" s="2260"/>
      <c r="I50" s="2257"/>
      <c r="J50" s="1364"/>
      <c r="K50" s="1364"/>
      <c r="L50" s="1365"/>
      <c r="P50" s="2258"/>
      <c r="Q50" s="1482"/>
      <c r="R50" s="357"/>
      <c r="S50" s="1279"/>
      <c r="T50" s="366" t="s">
        <v>429</v>
      </c>
      <c r="U50" s="368"/>
      <c r="V50" s="368"/>
      <c r="W50" s="601"/>
      <c r="X50" s="601"/>
      <c r="Y50" s="601"/>
      <c r="Z50" s="601"/>
      <c r="AA50" s="601"/>
      <c r="AB50" s="368"/>
      <c r="AC50" s="368"/>
      <c r="AD50" s="368"/>
      <c r="AE50" s="368"/>
      <c r="AF50" s="367"/>
      <c r="AG50" s="368"/>
      <c r="AH50" s="601"/>
      <c r="AI50" s="601"/>
      <c r="AJ50" s="601"/>
      <c r="AK50" s="601"/>
      <c r="AL50" s="601"/>
      <c r="AM50" s="368"/>
      <c r="AN50" s="368"/>
      <c r="AO50" s="368"/>
      <c r="AP50" s="368"/>
      <c r="AQ50" s="367"/>
      <c r="AR50" s="368"/>
      <c r="AS50" s="1441"/>
      <c r="AU50" s="501"/>
      <c r="AV50" s="501" t="str">
        <f>IF(T50="","",T50)</f>
        <v>Добавить группу потребителей</v>
      </c>
      <c r="AW50" s="501"/>
      <c r="AX50" s="501"/>
      <c r="AY50" s="1156">
        <v>21</v>
      </c>
    </row>
    <row customHeight="1" ht="22.049999999999997">
      <c r="A51" s="1364" t="s">
        <v>273</v>
      </c>
      <c r="B51" s="1364" t="s">
        <v>274</v>
      </c>
      <c r="C51" s="1364" t="s">
        <v>275</v>
      </c>
      <c r="D51" s="1364" t="s">
        <v>562</v>
      </c>
      <c r="E51" s="2260"/>
      <c r="F51" s="2260"/>
      <c r="G51" s="2260"/>
      <c r="H51" s="2259"/>
      <c r="I51" s="1364"/>
      <c r="J51" s="1364"/>
      <c r="K51" s="1364"/>
      <c r="L51" s="1365"/>
      <c r="M51" s="1366"/>
      <c r="N51" s="1366"/>
      <c r="O51" s="538"/>
      <c r="P51" s="361"/>
      <c r="Q51" s="376"/>
      <c r="R51" s="356"/>
      <c r="S51" s="1279"/>
      <c r="T51" s="373" t="s">
        <v>507</v>
      </c>
      <c r="U51" s="368"/>
      <c r="V51" s="368"/>
      <c r="W51" s="601"/>
      <c r="X51" s="601"/>
      <c r="Y51" s="601"/>
      <c r="Z51" s="601"/>
      <c r="AA51" s="601"/>
      <c r="AB51" s="368"/>
      <c r="AC51" s="368"/>
      <c r="AD51" s="368"/>
      <c r="AE51" s="368"/>
      <c r="AF51" s="367"/>
      <c r="AG51" s="368"/>
      <c r="AH51" s="601"/>
      <c r="AI51" s="601"/>
      <c r="AJ51" s="601"/>
      <c r="AK51" s="601"/>
      <c r="AL51" s="601"/>
      <c r="AM51" s="368"/>
      <c r="AN51" s="368"/>
      <c r="AO51" s="368"/>
      <c r="AP51" s="368"/>
      <c r="AQ51" s="367"/>
      <c r="AR51" s="368"/>
      <c r="AS51" s="304"/>
      <c r="AU51" s="501"/>
      <c r="AV51" s="501" t="str">
        <f>IF(T51="","",T51)</f>
        <v>Добавить наименование признака дифференциации</v>
      </c>
      <c r="AW51" s="501"/>
      <c r="AX51" s="501"/>
      <c r="AY51" s="1156">
        <v>21</v>
      </c>
    </row>
    <row s="1643" customFormat="1" customHeight="1" ht="0">
      <c r="A52" s="1344" t="s">
        <v>273</v>
      </c>
      <c r="B52" s="1344" t="s">
        <v>274</v>
      </c>
      <c r="C52" s="1315"/>
      <c r="D52" s="1315"/>
      <c r="E52" s="2260"/>
      <c r="F52" s="2259"/>
      <c r="G52" s="1315"/>
      <c r="H52" s="1315"/>
      <c r="I52" s="1315"/>
      <c r="J52" s="1315"/>
      <c r="K52" s="1315"/>
      <c r="L52" s="1495"/>
      <c r="M52" s="1322"/>
      <c r="N52" s="1322"/>
      <c r="P52" s="1317"/>
      <c r="Q52" s="1318"/>
      <c r="R52" s="1317"/>
      <c r="S52" s="1323"/>
      <c r="T52" s="1326" t="s">
        <v>177</v>
      </c>
      <c r="U52" s="1325"/>
      <c r="V52" s="1325"/>
      <c r="W52" s="1325"/>
      <c r="X52" s="1325"/>
      <c r="Y52" s="1325"/>
      <c r="Z52" s="1325"/>
      <c r="AA52" s="1325"/>
      <c r="AB52" s="1325"/>
      <c r="AC52" s="1325"/>
      <c r="AD52" s="1325"/>
      <c r="AE52" s="1325"/>
      <c r="AF52" s="1325"/>
      <c r="AG52" s="1325"/>
      <c r="AH52" s="1325"/>
      <c r="AI52" s="1325"/>
      <c r="AJ52" s="1325"/>
      <c r="AK52" s="1325"/>
      <c r="AL52" s="1325"/>
      <c r="AM52" s="1325"/>
      <c r="AN52" s="1325"/>
      <c r="AO52" s="1325"/>
      <c r="AP52" s="1325"/>
      <c r="AQ52" s="1325"/>
      <c r="AR52" s="1325"/>
      <c r="AS52" s="1325"/>
      <c r="AU52" s="790"/>
      <c r="AV52" s="790" t="str">
        <f>IF(T52="","",T52)</f>
        <v>Добавить централизованную систему для дифференциации</v>
      </c>
      <c r="AW52" s="790"/>
      <c r="AX52" s="790"/>
      <c r="AY52" s="519">
        <v>0</v>
      </c>
    </row>
    <row s="1643" customFormat="1" customHeight="1" ht="0">
      <c r="A53" s="1344" t="s">
        <v>273</v>
      </c>
      <c r="B53" s="1344"/>
      <c r="C53" s="1344"/>
      <c r="D53" s="1344"/>
      <c r="E53" s="2259"/>
      <c r="F53" s="1344"/>
      <c r="G53" s="1344"/>
      <c r="H53" s="1344"/>
      <c r="I53" s="1344"/>
      <c r="J53" s="1344"/>
      <c r="K53" s="1344"/>
      <c r="L53" s="1347"/>
      <c r="M53" s="1322"/>
      <c r="N53" s="1322"/>
      <c r="O53" s="519"/>
      <c r="P53" s="381"/>
      <c r="Q53" s="1345"/>
      <c r="R53" s="381"/>
      <c r="S53" s="1323"/>
      <c r="T53" s="1326" t="s">
        <v>178</v>
      </c>
      <c r="U53" s="1325"/>
      <c r="V53" s="1325"/>
      <c r="W53" s="1325"/>
      <c r="X53" s="1325"/>
      <c r="Y53" s="1325"/>
      <c r="Z53" s="1325"/>
      <c r="AA53" s="1325"/>
      <c r="AB53" s="1325"/>
      <c r="AC53" s="1325"/>
      <c r="AD53" s="1325"/>
      <c r="AE53" s="1325"/>
      <c r="AF53" s="1325"/>
      <c r="AG53" s="1325"/>
      <c r="AH53" s="1325"/>
      <c r="AI53" s="1325"/>
      <c r="AJ53" s="1325"/>
      <c r="AK53" s="1325"/>
      <c r="AL53" s="1325"/>
      <c r="AM53" s="1325"/>
      <c r="AN53" s="1325"/>
      <c r="AO53" s="1325"/>
      <c r="AP53" s="1325"/>
      <c r="AQ53" s="1325"/>
      <c r="AR53" s="1325"/>
      <c r="AS53" s="1325"/>
      <c r="AU53" s="501"/>
      <c r="AV53" s="501" t="str">
        <f>IF(T53="","",T53)</f>
        <v>Добавить территорию для дифференциации</v>
      </c>
      <c r="AW53" s="501"/>
      <c r="AX53" s="501"/>
      <c r="AY53" s="512">
        <v>0</v>
      </c>
    </row>
    <row s="1643" customFormat="1" customHeight="1" ht="0">
      <c r="A54" s="1315"/>
      <c r="B54" s="1315"/>
      <c r="C54" s="1315"/>
      <c r="D54" s="1315"/>
      <c r="E54" s="1344"/>
      <c r="F54" s="1315"/>
      <c r="G54" s="1315"/>
      <c r="H54" s="1315"/>
      <c r="I54" s="1315"/>
      <c r="J54" s="1315"/>
      <c r="K54" s="1315"/>
      <c r="L54" s="1495"/>
      <c r="M54" s="1322"/>
      <c r="N54" s="1322"/>
      <c r="P54" s="1317"/>
      <c r="Q54" s="1318"/>
      <c r="R54" s="1317"/>
      <c r="S54" s="1323"/>
      <c r="T54" s="1326" t="s">
        <v>184</v>
      </c>
      <c r="U54" s="1325"/>
      <c r="V54" s="1325"/>
      <c r="W54" s="1325"/>
      <c r="X54" s="1325"/>
      <c r="Y54" s="1325"/>
      <c r="Z54" s="1325"/>
      <c r="AA54" s="1325"/>
      <c r="AB54" s="1325"/>
      <c r="AC54" s="1325"/>
      <c r="AD54" s="1325"/>
      <c r="AE54" s="1325"/>
      <c r="AF54" s="1325"/>
      <c r="AG54" s="1325"/>
      <c r="AH54" s="1325"/>
      <c r="AI54" s="1325"/>
      <c r="AJ54" s="1325"/>
      <c r="AK54" s="1325"/>
      <c r="AL54" s="1325"/>
      <c r="AM54" s="1325"/>
      <c r="AN54" s="1325"/>
      <c r="AO54" s="1325"/>
      <c r="AP54" s="1325"/>
      <c r="AQ54" s="1325"/>
      <c r="AR54" s="1325"/>
      <c r="AS54" s="1325"/>
      <c r="AU54" s="790"/>
      <c r="AV54" s="790" t="str">
        <f>IF(T54="","",T54)</f>
        <v>Добавить наименование тарифа</v>
      </c>
      <c r="AW54" s="790"/>
      <c r="AX54" s="790"/>
      <c r="AY54" s="519">
        <v>0</v>
      </c>
    </row>
    <row customHeight="1" ht="11.549999999999999">
      <c r="M55" s="1161"/>
      <c r="N55" s="1161"/>
      <c r="O55" s="538"/>
      <c r="P55" s="1156"/>
      <c r="Q55" s="1156"/>
      <c r="R55" s="1156"/>
      <c r="S55" s="1156"/>
      <c r="AT55" s="1156"/>
      <c r="AU55" s="1156"/>
      <c r="AV55" s="1156"/>
      <c r="AW55" s="1156"/>
      <c r="AX55" s="1156"/>
      <c r="AY55" s="1156">
        <v>11</v>
      </c>
    </row>
    <row customHeight="1" ht="14.699999999999998">
      <c r="O56" s="538"/>
      <c r="S56" s="1254"/>
      <c r="T56" s="2286"/>
      <c r="U56" s="2286"/>
      <c r="V56" s="2286"/>
      <c r="W56" s="2286"/>
      <c r="X56" s="2286"/>
      <c r="Y56" s="2286"/>
      <c r="Z56" s="2286"/>
      <c r="AA56" s="2286"/>
      <c r="AB56" s="2286"/>
      <c r="AC56" s="2286"/>
      <c r="AD56" s="2286"/>
      <c r="AE56" s="2286"/>
      <c r="AF56" s="2286"/>
      <c r="AG56" s="2286"/>
      <c r="AH56" s="2286"/>
      <c r="AI56" s="2286"/>
      <c r="AJ56" s="2286"/>
      <c r="AK56" s="2286"/>
      <c r="AL56" s="2286"/>
      <c r="AM56" s="2286"/>
      <c r="AN56" s="2286"/>
      <c r="AO56" s="2286"/>
      <c r="AP56" s="2286"/>
      <c r="AQ56" s="2286"/>
      <c r="AR56" s="2286"/>
      <c r="AS56" s="2286"/>
      <c r="AY56" s="1156">
        <v>14</v>
      </c>
    </row>
    <row customHeight="1" ht="14.699999999999998">
      <c r="O57" s="538"/>
      <c r="AY57" s="1156">
        <v>14</v>
      </c>
    </row>
    <row customHeight="1" ht="14.699999999999998">
      <c r="O58" s="538"/>
      <c r="S58" s="1254"/>
      <c r="T58" s="2286"/>
      <c r="U58" s="2286"/>
      <c r="V58" s="2286"/>
      <c r="W58" s="2286"/>
      <c r="X58" s="2286"/>
      <c r="Y58" s="2286"/>
      <c r="Z58" s="2286"/>
      <c r="AA58" s="2286"/>
      <c r="AB58" s="2286"/>
      <c r="AC58" s="2286"/>
      <c r="AD58" s="2286"/>
      <c r="AE58" s="2286"/>
      <c r="AF58" s="2286"/>
      <c r="AG58" s="2286"/>
      <c r="AH58" s="2286"/>
      <c r="AI58" s="2286"/>
      <c r="AJ58" s="2286"/>
      <c r="AK58" s="2286"/>
      <c r="AL58" s="2286"/>
      <c r="AM58" s="2286"/>
      <c r="AN58" s="2286"/>
      <c r="AO58" s="2286"/>
      <c r="AP58" s="2286"/>
      <c r="AQ58" s="2286"/>
      <c r="AR58" s="2286"/>
      <c r="AS58" s="2286"/>
      <c r="AY58" s="1156">
        <v>14</v>
      </c>
    </row>
    <row customHeight="1" ht="22.5" hidden="1">
      <c r="A59" s="1161" t="s">
        <v>83</v>
      </c>
      <c r="B59" s="1161">
        <v>0</v>
      </c>
      <c r="C59" s="1161">
        <v>0</v>
      </c>
      <c r="D59" s="1161">
        <v>0</v>
      </c>
      <c r="E59" s="1161">
        <v>0</v>
      </c>
      <c r="F59" s="1161">
        <v>0</v>
      </c>
      <c r="G59" s="1161">
        <v>0</v>
      </c>
      <c r="H59" s="1161">
        <v>0</v>
      </c>
      <c r="I59" s="1161">
        <v>0</v>
      </c>
      <c r="J59" s="1161">
        <v>0</v>
      </c>
      <c r="K59" s="1161">
        <v>0</v>
      </c>
      <c r="L59" s="1479">
        <v>0</v>
      </c>
      <c r="M59" s="1363">
        <v>0</v>
      </c>
      <c r="N59" s="1363">
        <v>0</v>
      </c>
      <c r="O59" s="1363">
        <v>0</v>
      </c>
      <c r="P59" s="1474">
        <v>3</v>
      </c>
      <c r="Q59" s="345">
        <v>3</v>
      </c>
      <c r="R59" s="345">
        <v>3</v>
      </c>
      <c r="S59" s="582">
        <v>12</v>
      </c>
      <c r="T59" s="1156">
        <v>35</v>
      </c>
      <c r="U59" s="1156">
        <v>0</v>
      </c>
      <c r="V59" s="1156">
        <v>0</v>
      </c>
      <c r="W59" s="1632">
        <v>0</v>
      </c>
      <c r="X59" s="1632">
        <v>0</v>
      </c>
      <c r="Y59" s="1632">
        <v>0</v>
      </c>
      <c r="Z59" s="1632">
        <v>0</v>
      </c>
      <c r="AA59" s="1632">
        <v>0</v>
      </c>
      <c r="AB59" s="1156">
        <v>0</v>
      </c>
      <c r="AC59" s="1156">
        <v>0</v>
      </c>
      <c r="AD59" s="1156">
        <v>0</v>
      </c>
      <c r="AE59" s="1156">
        <v>0</v>
      </c>
      <c r="AF59" s="1156">
        <v>0</v>
      </c>
      <c r="AG59" s="1156">
        <v>19</v>
      </c>
      <c r="AH59" s="1632">
        <v>19</v>
      </c>
      <c r="AI59" s="1632">
        <v>19</v>
      </c>
      <c r="AJ59" s="1632">
        <v>19</v>
      </c>
      <c r="AK59" s="1632">
        <v>19</v>
      </c>
      <c r="AL59" s="1632">
        <v>19</v>
      </c>
      <c r="AM59" s="1156">
        <v>19</v>
      </c>
      <c r="AN59" s="1156">
        <v>11</v>
      </c>
      <c r="AO59" s="1156">
        <v>3</v>
      </c>
      <c r="AP59" s="1156">
        <v>11</v>
      </c>
      <c r="AQ59" s="1156">
        <v>0</v>
      </c>
      <c r="AR59" s="1156">
        <v>4</v>
      </c>
      <c r="AS59" s="1156">
        <v>115</v>
      </c>
      <c r="AT59" s="512">
        <v>10</v>
      </c>
      <c r="AU59" s="512">
        <v>10</v>
      </c>
      <c r="AV59" s="512">
        <v>10</v>
      </c>
      <c r="AW59" s="512">
        <v>10</v>
      </c>
      <c r="AX59" s="512">
        <v>10</v>
      </c>
      <c r="AY59" s="1156">
        <v>23</v>
      </c>
    </row>
  </sheetData>
  <sheetProtection formatColumns="0" formatRows="0" autoFilter="0" sort="0" insertRows="0" insertColumns="1" deleteRows="0" deleteColumns="0"/>
  <mergeCells count="113">
    <mergeCell ref="AS47:AS48"/>
    <mergeCell ref="T56:AS56"/>
    <mergeCell ref="T58:AS58"/>
    <mergeCell ref="V46:AF46"/>
    <mergeCell ref="AG46:AR46"/>
    <mergeCell ref="AO47:AO48"/>
    <mergeCell ref="AP47:AP48"/>
    <mergeCell ref="AQ47:AQ48"/>
    <mergeCell ref="AS36:AS40"/>
    <mergeCell ref="AR37:AR40"/>
    <mergeCell ref="AL39:AM39"/>
    <mergeCell ref="V38:V40"/>
    <mergeCell ref="W38:Y38"/>
    <mergeCell ref="Z38:AB38"/>
    <mergeCell ref="W39:W40"/>
    <mergeCell ref="X39:Y39"/>
    <mergeCell ref="Z39:Z40"/>
    <mergeCell ref="AG38:AG40"/>
    <mergeCell ref="AK39:AK40"/>
    <mergeCell ref="K47:K48"/>
    <mergeCell ref="AC47:AC48"/>
    <mergeCell ref="AD47:AD48"/>
    <mergeCell ref="AE47:AE48"/>
    <mergeCell ref="AF47:AF48"/>
    <mergeCell ref="AN47:AN48"/>
    <mergeCell ref="AD41:AE41"/>
    <mergeCell ref="AO41:AP41"/>
    <mergeCell ref="E42:E53"/>
    <mergeCell ref="V42:AF42"/>
    <mergeCell ref="AG42:AR42"/>
    <mergeCell ref="F43:F52"/>
    <mergeCell ref="V43:AF43"/>
    <mergeCell ref="AG43:AR43"/>
    <mergeCell ref="G44:G51"/>
    <mergeCell ref="V44:AF44"/>
    <mergeCell ref="AG44:AR44"/>
    <mergeCell ref="H45:H51"/>
    <mergeCell ref="I45:I50"/>
    <mergeCell ref="P45:P50"/>
    <mergeCell ref="V45:AF45"/>
    <mergeCell ref="AG45:AR45"/>
    <mergeCell ref="J46:J49"/>
    <mergeCell ref="Q46:Q49"/>
    <mergeCell ref="S37:S40"/>
    <mergeCell ref="T37:T40"/>
    <mergeCell ref="V37:AE37"/>
    <mergeCell ref="AF37:AF40"/>
    <mergeCell ref="AG37:AP37"/>
    <mergeCell ref="AQ37:AQ40"/>
    <mergeCell ref="S32:T32"/>
    <mergeCell ref="V32:AE32"/>
    <mergeCell ref="AG32:AP32"/>
    <mergeCell ref="S33:T33"/>
    <mergeCell ref="V33:AE33"/>
    <mergeCell ref="AG33:AP33"/>
    <mergeCell ref="AD40:AE40"/>
    <mergeCell ref="AO40:AP40"/>
    <mergeCell ref="V35:AF35"/>
    <mergeCell ref="AG35:AQ35"/>
    <mergeCell ref="S36:AR36"/>
    <mergeCell ref="AA39:AB39"/>
    <mergeCell ref="AN38:AP39"/>
    <mergeCell ref="AC38:AE39"/>
    <mergeCell ref="AH38:AJ38"/>
    <mergeCell ref="AK38:AM38"/>
    <mergeCell ref="AH39:AH40"/>
    <mergeCell ref="AI39:AJ39"/>
    <mergeCell ref="S29:T29"/>
    <mergeCell ref="V29:AE29"/>
    <mergeCell ref="AG29:AP29"/>
    <mergeCell ref="S30:T30"/>
    <mergeCell ref="V30:AE30"/>
    <mergeCell ref="AG30:AP30"/>
    <mergeCell ref="S24:AP24"/>
    <mergeCell ref="S25:AP25"/>
    <mergeCell ref="S27:T27"/>
    <mergeCell ref="V27:AE27"/>
    <mergeCell ref="AG27:AP27"/>
    <mergeCell ref="S28:T28"/>
    <mergeCell ref="V28:AE28"/>
    <mergeCell ref="AG28:AP28"/>
    <mergeCell ref="AS7:AS8"/>
    <mergeCell ref="AN15:AN16"/>
    <mergeCell ref="AO15:AO16"/>
    <mergeCell ref="AP15:AP16"/>
    <mergeCell ref="AQ15:AQ16"/>
    <mergeCell ref="AD7:AD8"/>
    <mergeCell ref="AE7:AE8"/>
    <mergeCell ref="AF7:AF8"/>
    <mergeCell ref="AN7:AN8"/>
    <mergeCell ref="AO7:AO8"/>
    <mergeCell ref="AP7:AP8"/>
    <mergeCell ref="E2:E13"/>
    <mergeCell ref="V2:AF2"/>
    <mergeCell ref="AG2:AR2"/>
    <mergeCell ref="F3:F12"/>
    <mergeCell ref="V3:AF3"/>
    <mergeCell ref="AG3:AR3"/>
    <mergeCell ref="G4:G11"/>
    <mergeCell ref="V4:AF4"/>
    <mergeCell ref="AG4:AR4"/>
    <mergeCell ref="H5:H11"/>
    <mergeCell ref="I5:I10"/>
    <mergeCell ref="P5:P10"/>
    <mergeCell ref="V5:AF5"/>
    <mergeCell ref="AG5:AR5"/>
    <mergeCell ref="J6:J9"/>
    <mergeCell ref="Q6:Q9"/>
    <mergeCell ref="V6:AF6"/>
    <mergeCell ref="AG6:AR6"/>
    <mergeCell ref="K7:K8"/>
    <mergeCell ref="AC7:AC8"/>
    <mergeCell ref="AQ7:AQ8"/>
  </mergeCells>
  <dataValidations count="8">
    <dataValidation type="list" allowBlank="1" showInputMessage="1" errorTitle="Ошибка" error="Выберите значение из списка" prompt="Выберите значение из списка" sqref="V983082:AR983082 V65578:AR65578 V131114:AR131114 V196650:AR196650 V262186:AR262186 V327722:AR327722 V393258:AR393258 V458794:AR458794 V524330:AR524330 V589866:AR589866 V655402:AR655402 V720938:AR720938 V786474:AR786474 V852010:AR852010 V917546:AR917546">
      <formula1>kind_of_cons</formula1>
    </dataValidation>
    <dataValidation allowBlank="1" sqref="S131117:AS131123 S196653:AS196659 S262189:AS262195 S327725:AS327731 S393261:AS393267 S458797:AS458803 S524333:AS524339 S589869:AS589875 S655405:AS655411 S720941:AS720947 S786477:AS786483 S852013:AS852019 S917549:AS917555 S983085:AS983091 S65581:AS65587"/>
    <dataValidation allowBlank="1" showInputMessage="1" showErrorMessage="1" prompt="Для выбора выполните двойной щелчок левой клавиши мыши по соответствующей ячейке." sqref="AD65579 AD131115 AD196651 AD262187 AD327723 AD393259 AD458795 AD524331 AD589867 AD655403 AD720939 AD786475 AD852011 AD917547 AD983083 AF131115 AF458795 AF196651 AF262187 AF327723 AF393259 AF524331 AF589867 AF655403 AF720939 AF786475 AF852011 AF917547 AF983083 AF65579 AO65579 AO131115 AO196651 AO262187 AO327723 AO393259 AO458795 AO524331 AO589867 AO655403 AO720939 AO786475 AO852011 AO917547 AO983083 AQ524331 AQ196651 AQ589867 AQ655403 AQ15 AQ720939 AQ786475 AQ852011 AQ917547 AQ983083 AQ65579 AQ131115 AQ458795 AQ262187 AQ7 AO47 AQ327723 AO15 AO7 AD7 AF7 AQ393259 AQ47 AD47 AF47"/>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AC65579 AC131115 AC196651 AC262187 AC327723 AC393259 AC458795 AC524331 AC589867 AC655403 AC720939 AC786475 AC852011 AC917547 AC983083 AE65579 AE131115 AE196651 AE262187 AE327723 AE393259 AE458795 AE524331 AE589867 AE655403 AE720939 AE786475 AE852011 AE917547 AE983083 AN15 AN65579 AN131115 AN196651 AN262187 AN327723 AN393259 AN458795 AN524331 AN589867 AN655403 AN720939 AN786475 AN852011 AN917547 AN983083 AP65579 AP131115 AP196651 AP262187 AP327723 AP393259 AP458795 AP524331 AP589867 AP655403 AP720939 AP786475 AP852011 AP917547 AP983083 AP47 AN47 AP15 AP7 AN7 AC7 AE7 AC47 AE47"/>
    <dataValidation type="list" allowBlank="1" showInputMessage="1" showErrorMessage="1" errorTitle="Ошибка" error="Выберите значение из списка" sqref="T65579 T131115 T196651 T262187 T327723 T393259 T458795 T524331 T589867 T655403 T720939 T786475 T852011 T917547 T983083">
      <formula1>kind_of_heat_transfer</formula1>
    </dataValidation>
    <dataValidation type="textLength" operator="lessThanOrEqual" allowBlank="1" showInputMessage="1" showErrorMessage="1" errorTitle="Ошибка" error="Допускается ввод не более 900 символов!" sqref="AS65573:AS65580 AS131109:AS131116 AS196645:AS196652 AS262181:AS262188 AS327717:AS327724 AS393253:AS393260 AS458789:AS458796 AS524325:AS524332 AS589861:AS589868 AS655397:AS655404 AS720933:AS720940 AS786469:AS786476 AS852005:AS852012 AS917541:AS917548 AS983077:AS983084 T47 T7 AG45:AR45 AG5:AR5">
      <formula1>900</formula1>
    </dataValidation>
    <dataValidation type="list" allowBlank="1" showInputMessage="1" showErrorMessage="1" errorTitle="Ошибка" error="Выберите значение из списка" sqref="V983081:AA983081 V65577:AA65577 V131113:AA131113 V196649:AA196649 V262185:AA262185 V327721:AA327721 V393257:AA393257 V458793:AA458793 V524329:AA524329 V589865:AA589865 V655401:AA655401 V720937:AA720937 V786473:AA786473 V852009:AA852009 V917545:AA917545 AG983081:AL983081 AG65577:AL65577 AG131113:AL131113 AG196649:AL196649 AG262185:AL262185 AG327721:AL327721 AG393257:AL393257 AG458793:AL458793 AG524329:AL524329 AG589865:AL589865 AG655401:AL655401 AG720937:AL720937 AG786473:AL786473 AG852009:AL852009 AG917545:AL917545">
      <formula1>kind_of_scheme_in</formula1>
    </dataValidation>
    <dataValidation allowBlank="1" promptTitle="checkPeriodRange" sqref="AB65580 AB131116 AB196652 AB262188 AB327724 AB393260 AB458796 AB524332 AB589868 AB655404 AB720940 AB786476 AB852012 AB917548 AB983084 AM16 AM65580 AM131116 AM196652 AM262188 AM327724 AM393260 AM458796 AM524332 AM589868 AM655404 AM720940 AM786476 AM852012 AM917548 AM983084 AM48 AM8 AB8 AB48"/>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B4225088-CDDF-715D-A0F8-5EAF8319AEC1}" mc:Ignorable="x14ac xr xr2 xr3">
  <sheetPr>
    <tabColor theme="6" tint="0.4"/>
  </sheetPr>
  <dimension ref="A1:BI69"/>
  <sheetViews>
    <sheetView showGridLines="0" zoomScale="90" workbookViewId="0">
      <pane xSplit="29" ySplit="45" topLeftCell="AD46" activePane="bottomRight" state="frozen"/>
      <selection pane="bottomLeft" activeCell="A46" sqref="A46"/>
      <selection pane="topRight" activeCell="AD1" sqref="AD1"/>
      <selection pane="bottomRight" activeCell="A1" sqref="A1"/>
    </sheetView>
  </sheetViews>
  <sheetFormatPr defaultColWidth="10.57421875" customHeight="1" defaultRowHeight="14.25"/>
  <cols>
    <col min="1" max="1" style="1367" width="11.57421875" hidden="1" customWidth="1"/>
    <col min="2" max="2" style="1367" width="11.00390625" hidden="1" customWidth="1"/>
    <col min="3" max="3" style="1367" width="10.57421875" hidden="1"/>
    <col min="4" max="4" style="1367" width="12.8515625" hidden="1" customWidth="1"/>
    <col min="5" max="5" style="1367" width="10.00390625" hidden="1" customWidth="1"/>
    <col min="6" max="6" style="1367" width="8.7109375" hidden="1" customWidth="1"/>
    <col min="7" max="7" style="1367" width="7.57421875" hidden="1" customWidth="1"/>
    <col min="8" max="8" style="1367" width="11.421875" hidden="1" customWidth="1"/>
    <col min="9" max="9" style="1367" width="12.00390625" hidden="1" customWidth="1"/>
    <col min="10" max="10" style="1367" width="9.8515625" hidden="1" customWidth="1"/>
    <col min="11" max="11" style="1367" width="11.421875" hidden="1" customWidth="1"/>
    <col min="12" max="12" style="2608" width="19.140625" hidden="1" customWidth="1"/>
    <col min="13" max="14" style="1777" width="12.28125" hidden="1" customWidth="1"/>
    <col min="15" max="15" style="1777" width="23.421875" hidden="1" customWidth="1"/>
    <col min="16" max="16" style="1777" width="3.7109375" hidden="1" customWidth="1"/>
    <col min="17" max="17" style="1372" width="3.7109375" hidden="1" customWidth="1"/>
    <col min="18" max="18" style="345" width="3.00390625" customWidth="1"/>
    <col min="19" max="19" style="2408" width="12.00390625" customWidth="1"/>
    <col min="20" max="20" style="1636" width="31.00390625" customWidth="1"/>
    <col min="21" max="21" style="1636" width="0.140625" customWidth="1"/>
    <col min="22" max="25" style="1636" width="21.7109375" hidden="1" customWidth="1"/>
    <col min="26" max="26" style="1636" width="11.7109375" hidden="1" customWidth="1"/>
    <col min="27" max="27" style="1636" width="3.7109375" hidden="1" customWidth="1"/>
    <col min="28" max="28" style="1636" width="11.7109375" hidden="1" customWidth="1"/>
    <col min="29" max="29" style="1636" width="8.57421875" hidden="1" customWidth="1"/>
    <col min="30" max="30" style="1636" width="3.7109375" customWidth="1"/>
    <col min="31" max="32" style="1636" width="3.00390625" customWidth="1"/>
    <col min="33" max="33" style="1636" width="24.00390625" customWidth="1"/>
    <col min="34" max="34" style="1636" width="3.7109375" customWidth="1"/>
    <col min="35" max="36" style="1636" width="3.00390625" customWidth="1"/>
    <col min="37" max="37" style="1636" width="24.00390625" customWidth="1"/>
    <col min="38" max="38" style="1636" width="3.7109375" customWidth="1"/>
    <col min="39" max="40" style="1636" width="3.00390625" customWidth="1"/>
    <col min="41" max="41" style="1636" width="18.00390625" customWidth="1"/>
    <col min="42" max="42" style="1636" width="3.7109375" customWidth="1"/>
    <col min="43" max="44" style="1636" width="3.00390625" customWidth="1"/>
    <col min="45" max="45" style="1636" width="18.00390625" customWidth="1"/>
    <col min="46" max="49" style="1636" width="21.00390625" customWidth="1"/>
    <col min="50" max="50" style="1636" width="11.00390625" customWidth="1"/>
    <col min="51" max="51" style="1636" width="3.7109375" customWidth="1"/>
    <col min="52" max="52" style="1636" width="11.00390625" customWidth="1"/>
    <col min="53" max="53" style="1636" width="8.57421875" hidden="1" customWidth="1"/>
    <col min="54" max="54" style="1636" width="4.00390625" customWidth="1"/>
    <col min="55" max="55" style="1636" width="115.00390625" customWidth="1"/>
    <col min="56" max="60" style="1643" width="10.00390625" customWidth="1"/>
    <col min="61" max="61" style="1636" width="10.57421875" hidden="1"/>
  </cols>
  <sheetData>
    <row customHeight="1" ht="22.5" hidden="1">
      <c r="W1" s="328"/>
      <c r="Y1" s="328"/>
      <c r="Z1" s="328"/>
      <c r="AW1" s="328"/>
      <c r="AX1" s="328"/>
      <c r="BI1" s="1156" t="s">
        <v>14</v>
      </c>
    </row>
    <row customHeight="1" ht="21" hidden="1">
      <c r="A2" s="1364"/>
      <c r="B2" s="1364"/>
      <c r="C2" s="1364"/>
      <c r="D2" s="1364"/>
      <c r="E2" s="2259">
        <v>1</v>
      </c>
      <c r="F2" s="1364"/>
      <c r="G2" s="1364"/>
      <c r="H2" s="1364"/>
      <c r="I2" s="1364"/>
      <c r="J2" s="1364"/>
      <c r="K2" s="1364"/>
      <c r="L2" s="1365"/>
      <c r="M2" s="1366"/>
      <c r="N2" s="1366"/>
      <c r="O2" s="1366"/>
      <c r="P2" s="1410"/>
      <c r="Q2" s="874"/>
      <c r="R2" s="356"/>
      <c r="S2" s="1494">
        <f>INDEX(PT_DIFFERENTIATION_NUM_NTAR,MATCH(A2,PT_DIFFERENTIATION_NTAR_ID,0))</f>
      </c>
      <c r="T2" s="299" t="s">
        <v>131</v>
      </c>
      <c r="U2" s="301"/>
      <c r="V2" s="2244"/>
      <c r="W2" s="2244"/>
      <c r="X2" s="2244"/>
      <c r="Y2" s="2244"/>
      <c r="Z2" s="2244"/>
      <c r="AA2" s="2244"/>
      <c r="AB2" s="2244"/>
      <c r="AC2" s="2245"/>
      <c r="AD2" s="2243">
        <f>INDEX(PT_DIFFERENTIATION_NTAR,MATCH(A2,PT_DIFFERENTIATION_NTAR_ID,0))</f>
      </c>
      <c r="AE2" s="2244"/>
      <c r="AF2" s="2244"/>
      <c r="AG2" s="2244"/>
      <c r="AH2" s="2244"/>
      <c r="AI2" s="2244"/>
      <c r="AJ2" s="2244"/>
      <c r="AK2" s="2244"/>
      <c r="AL2" s="2244"/>
      <c r="AM2" s="2244"/>
      <c r="AN2" s="2244"/>
      <c r="AO2" s="2244"/>
      <c r="AP2" s="2244"/>
      <c r="AQ2" s="2244"/>
      <c r="AR2" s="2244"/>
      <c r="AS2" s="2244"/>
      <c r="AT2" s="2244"/>
      <c r="AU2" s="2244"/>
      <c r="AV2" s="2244"/>
      <c r="AW2" s="2244"/>
      <c r="AX2" s="2244"/>
      <c r="AY2" s="2244"/>
      <c r="AZ2" s="2244"/>
      <c r="BA2" s="2244"/>
      <c r="BB2" s="2245"/>
      <c r="BC2" s="1259"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BE2" s="501"/>
      <c r="BF2" s="501" t="str">
        <f>IF(T2="","",T2)</f>
        <v>Наименование тарифа</v>
      </c>
      <c r="BG2" s="501"/>
      <c r="BH2" s="501"/>
      <c r="BI2" s="1156">
        <v>0</v>
      </c>
    </row>
    <row customHeight="1" ht="21" hidden="1">
      <c r="A3" s="1364"/>
      <c r="B3" s="1364"/>
      <c r="C3" s="1364"/>
      <c r="D3" s="1364"/>
      <c r="E3" s="2260"/>
      <c r="F3" s="2259">
        <v>1</v>
      </c>
      <c r="G3" s="1364"/>
      <c r="H3" s="1364"/>
      <c r="I3" s="1364"/>
      <c r="J3" s="1364"/>
      <c r="K3" s="1364"/>
      <c r="L3" s="1365"/>
      <c r="M3" s="1366"/>
      <c r="N3" s="1366"/>
      <c r="O3" s="1366"/>
      <c r="P3" s="1411"/>
      <c r="Q3" s="1412"/>
      <c r="R3" s="354"/>
      <c r="S3" s="1494">
        <f>INDEX(PT_DIFFERENTIATION_NUM_TER,MATCH(B3,PT_DIFFERENTIATION_TER_ID,0))</f>
      </c>
      <c r="T3" s="309" t="s">
        <v>414</v>
      </c>
      <c r="U3" s="301"/>
      <c r="V3" s="2244"/>
      <c r="W3" s="2244"/>
      <c r="X3" s="2244"/>
      <c r="Y3" s="2244"/>
      <c r="Z3" s="2244"/>
      <c r="AA3" s="2244"/>
      <c r="AB3" s="2244"/>
      <c r="AC3" s="2245"/>
      <c r="AD3" s="2243">
        <f>INDEX(PT_DIFFERENTIATION_TER,MATCH(B3,PT_DIFFERENTIATION_TER_ID,0))</f>
      </c>
      <c r="AE3" s="2244"/>
      <c r="AF3" s="2244"/>
      <c r="AG3" s="2244"/>
      <c r="AH3" s="2244"/>
      <c r="AI3" s="2244"/>
      <c r="AJ3" s="2244"/>
      <c r="AK3" s="2244"/>
      <c r="AL3" s="2244"/>
      <c r="AM3" s="2244"/>
      <c r="AN3" s="2244"/>
      <c r="AO3" s="2244"/>
      <c r="AP3" s="2244"/>
      <c r="AQ3" s="2244"/>
      <c r="AR3" s="2244"/>
      <c r="AS3" s="2244"/>
      <c r="AT3" s="2244"/>
      <c r="AU3" s="2244"/>
      <c r="AV3" s="2244"/>
      <c r="AW3" s="2244"/>
      <c r="AX3" s="2244"/>
      <c r="AY3" s="2244"/>
      <c r="AZ3" s="2244"/>
      <c r="BA3" s="2244"/>
      <c r="BB3" s="2245"/>
      <c r="BC3" s="1259" t="s">
        <v>415</v>
      </c>
      <c r="BE3" s="501"/>
      <c r="BF3" s="501" t="str">
        <f>IF(T3="","",T3)</f>
        <v>Территория действия тарифа</v>
      </c>
      <c r="BG3" s="501"/>
      <c r="BH3" s="501"/>
      <c r="BI3" s="1156">
        <v>0</v>
      </c>
    </row>
    <row customHeight="1" ht="33.75" hidden="1">
      <c r="A4" s="1364"/>
      <c r="B4" s="1364"/>
      <c r="C4" s="1364"/>
      <c r="D4" s="1364"/>
      <c r="E4" s="2260"/>
      <c r="F4" s="2260"/>
      <c r="G4" s="2259">
        <v>1</v>
      </c>
      <c r="H4" s="1364"/>
      <c r="I4" s="1364"/>
      <c r="J4" s="1364"/>
      <c r="K4" s="1364"/>
      <c r="L4" s="1365"/>
      <c r="M4" s="1366"/>
      <c r="N4" s="1366"/>
      <c r="O4" s="1366"/>
      <c r="P4" s="1413"/>
      <c r="Q4" s="1412"/>
      <c r="R4" s="354"/>
      <c r="S4" s="1494">
        <f>INDEX(PT_DIFFERENTIATION_NUM_CS,MATCH(C4,PT_DIFFERENTIATION_CS_ID,0))</f>
      </c>
      <c r="T4" s="310" t="s">
        <v>549</v>
      </c>
      <c r="U4" s="301"/>
      <c r="V4" s="2244"/>
      <c r="W4" s="2244"/>
      <c r="X4" s="2244"/>
      <c r="Y4" s="2244"/>
      <c r="Z4" s="2244"/>
      <c r="AA4" s="2244"/>
      <c r="AB4" s="2244"/>
      <c r="AC4" s="2245"/>
      <c r="AD4" s="2243">
        <f>INDEX(PT_DIFFERENTIATION_CS,MATCH(C4,PT_DIFFERENTIATION_CS_ID,0))</f>
      </c>
      <c r="AE4" s="2244"/>
      <c r="AF4" s="2244"/>
      <c r="AG4" s="2244"/>
      <c r="AH4" s="2244"/>
      <c r="AI4" s="2244"/>
      <c r="AJ4" s="2244"/>
      <c r="AK4" s="2244"/>
      <c r="AL4" s="2244"/>
      <c r="AM4" s="2244"/>
      <c r="AN4" s="2244"/>
      <c r="AO4" s="2244"/>
      <c r="AP4" s="2244"/>
      <c r="AQ4" s="2244"/>
      <c r="AR4" s="2244"/>
      <c r="AS4" s="2244"/>
      <c r="AT4" s="2244"/>
      <c r="AU4" s="2244"/>
      <c r="AV4" s="2244"/>
      <c r="AW4" s="2244"/>
      <c r="AX4" s="2244"/>
      <c r="AY4" s="2244"/>
      <c r="AZ4" s="2244"/>
      <c r="BA4" s="2244"/>
      <c r="BB4" s="2245"/>
      <c r="BC4" s="1259" t="s">
        <v>550</v>
      </c>
      <c r="BE4" s="501"/>
      <c r="BF4" s="501" t="str">
        <f>IF(T4="","",T4)</f>
        <v>Наименование централизованной системы горячего водоснабжения</v>
      </c>
      <c r="BG4" s="501"/>
      <c r="BH4" s="501"/>
      <c r="BI4" s="1156">
        <v>0</v>
      </c>
    </row>
    <row s="1643" customFormat="1" customHeight="1" ht="14.25" hidden="1">
      <c r="A5" s="1344"/>
      <c r="B5" s="1344"/>
      <c r="C5" s="1344"/>
      <c r="D5" s="1344"/>
      <c r="E5" s="2260"/>
      <c r="F5" s="2260"/>
      <c r="G5" s="2260"/>
      <c r="H5" s="2259">
        <v>1</v>
      </c>
      <c r="I5" s="1344"/>
      <c r="J5" s="1344"/>
      <c r="K5" s="1344"/>
      <c r="L5" s="1347"/>
      <c r="M5" s="1316"/>
      <c r="N5" s="1316"/>
      <c r="O5" s="1316"/>
      <c r="P5" s="1498"/>
      <c r="Q5" s="1499"/>
      <c r="R5" s="358"/>
      <c r="S5" s="1043"/>
      <c r="T5" s="1500"/>
      <c r="U5" s="1385"/>
      <c r="V5" s="2298"/>
      <c r="W5" s="2298"/>
      <c r="X5" s="2298"/>
      <c r="Y5" s="2298"/>
      <c r="Z5" s="2298"/>
      <c r="AA5" s="2298"/>
      <c r="AB5" s="2298"/>
      <c r="AC5" s="2299"/>
      <c r="AD5" s="2297"/>
      <c r="AE5" s="2298"/>
      <c r="AF5" s="2298"/>
      <c r="AG5" s="2298"/>
      <c r="AH5" s="2298"/>
      <c r="AI5" s="2298"/>
      <c r="AJ5" s="2298"/>
      <c r="AK5" s="2298"/>
      <c r="AL5" s="2298"/>
      <c r="AM5" s="2298"/>
      <c r="AN5" s="2298"/>
      <c r="AO5" s="2298"/>
      <c r="AP5" s="2298"/>
      <c r="AQ5" s="2298"/>
      <c r="AR5" s="2298"/>
      <c r="AS5" s="2298"/>
      <c r="AT5" s="2298"/>
      <c r="AU5" s="2298"/>
      <c r="AV5" s="2298"/>
      <c r="AW5" s="2298"/>
      <c r="AX5" s="2298"/>
      <c r="AY5" s="2298"/>
      <c r="AZ5" s="2298"/>
      <c r="BA5" s="2298"/>
      <c r="BB5" s="2299"/>
      <c r="BC5" s="1386" t="s">
        <v>419</v>
      </c>
      <c r="BE5" s="501"/>
      <c r="BF5" s="501" t="str">
        <f>IF(T5="","",T5)</f>
        <v/>
      </c>
      <c r="BG5" s="501"/>
      <c r="BH5" s="501"/>
      <c r="BI5" s="512">
        <v>0</v>
      </c>
    </row>
    <row s="1643" customFormat="1" customHeight="1" ht="14.25" hidden="1">
      <c r="A6" s="1344"/>
      <c r="B6" s="1344"/>
      <c r="C6" s="1344"/>
      <c r="D6" s="1344"/>
      <c r="E6" s="2260"/>
      <c r="F6" s="2260"/>
      <c r="G6" s="2260"/>
      <c r="H6" s="2260"/>
      <c r="I6" s="2257" t="str">
        <f>S5&amp;".1"</f>
        <v>.1</v>
      </c>
      <c r="J6" s="1344"/>
      <c r="K6" s="1344"/>
      <c r="L6" s="1347" t="s">
        <v>420</v>
      </c>
      <c r="M6" s="511"/>
      <c r="N6" s="511"/>
      <c r="O6" s="511"/>
      <c r="P6" s="2258">
        <v>1</v>
      </c>
      <c r="Q6" s="1482"/>
      <c r="R6" s="357"/>
      <c r="S6" s="1043"/>
      <c r="T6" s="1384"/>
      <c r="U6" s="1385"/>
      <c r="V6" s="2298"/>
      <c r="W6" s="2298"/>
      <c r="X6" s="2298"/>
      <c r="Y6" s="2298"/>
      <c r="Z6" s="2298"/>
      <c r="AA6" s="2298"/>
      <c r="AB6" s="2298"/>
      <c r="AC6" s="2299"/>
      <c r="AD6" s="2297"/>
      <c r="AE6" s="2298"/>
      <c r="AF6" s="2298"/>
      <c r="AG6" s="2298"/>
      <c r="AH6" s="2298"/>
      <c r="AI6" s="2298"/>
      <c r="AJ6" s="2298"/>
      <c r="AK6" s="2298"/>
      <c r="AL6" s="2298"/>
      <c r="AM6" s="2298"/>
      <c r="AN6" s="2298"/>
      <c r="AO6" s="2298"/>
      <c r="AP6" s="2298"/>
      <c r="AQ6" s="2298"/>
      <c r="AR6" s="2298"/>
      <c r="AS6" s="2298"/>
      <c r="AT6" s="2298"/>
      <c r="AU6" s="2298"/>
      <c r="AV6" s="2298"/>
      <c r="AW6" s="2298"/>
      <c r="AX6" s="2298"/>
      <c r="AY6" s="2298"/>
      <c r="AZ6" s="2298"/>
      <c r="BA6" s="2298"/>
      <c r="BB6" s="2299"/>
      <c r="BC6" s="1386"/>
      <c r="BE6" s="501"/>
      <c r="BF6" s="501" t="str">
        <f>IF(T6="","",T6)</f>
        <v/>
      </c>
      <c r="BG6" s="501"/>
      <c r="BH6" s="501"/>
      <c r="BI6" s="512">
        <v>0</v>
      </c>
    </row>
    <row s="1643" customFormat="1" customHeight="1" ht="14.25" hidden="1">
      <c r="A7" s="1344"/>
      <c r="B7" s="1344"/>
      <c r="C7" s="1344"/>
      <c r="D7" s="1344"/>
      <c r="E7" s="2260"/>
      <c r="F7" s="2260"/>
      <c r="G7" s="2260"/>
      <c r="H7" s="2260"/>
      <c r="I7" s="2287"/>
      <c r="J7" s="2257" t="str">
        <f>S5&amp;".1"</f>
        <v>.1</v>
      </c>
      <c r="K7" s="1344"/>
      <c r="L7" s="1347"/>
      <c r="M7" s="511"/>
      <c r="N7" s="511"/>
      <c r="O7" s="511"/>
      <c r="P7" s="2258"/>
      <c r="Q7" s="2258">
        <v>1</v>
      </c>
      <c r="R7" s="358"/>
      <c r="S7" s="1043"/>
      <c r="T7" s="1400"/>
      <c r="U7" s="1385"/>
      <c r="V7" s="2298"/>
      <c r="W7" s="2298"/>
      <c r="X7" s="2298"/>
      <c r="Y7" s="2298"/>
      <c r="Z7" s="2298"/>
      <c r="AA7" s="2298"/>
      <c r="AB7" s="2298"/>
      <c r="AC7" s="2299"/>
      <c r="AD7" s="2297"/>
      <c r="AE7" s="2298"/>
      <c r="AF7" s="2298"/>
      <c r="AG7" s="2298"/>
      <c r="AH7" s="2298"/>
      <c r="AI7" s="2298"/>
      <c r="AJ7" s="2298"/>
      <c r="AK7" s="2298"/>
      <c r="AL7" s="2298"/>
      <c r="AM7" s="2298"/>
      <c r="AN7" s="2298"/>
      <c r="AO7" s="2298"/>
      <c r="AP7" s="2298"/>
      <c r="AQ7" s="2298"/>
      <c r="AR7" s="2298"/>
      <c r="AS7" s="2298"/>
      <c r="AT7" s="2298"/>
      <c r="AU7" s="2298"/>
      <c r="AV7" s="2298"/>
      <c r="AW7" s="2298"/>
      <c r="AX7" s="2298"/>
      <c r="AY7" s="2298"/>
      <c r="AZ7" s="2298"/>
      <c r="BA7" s="2298"/>
      <c r="BB7" s="2299"/>
      <c r="BC7" s="1386"/>
      <c r="BE7" s="501"/>
      <c r="BF7" s="501" t="str">
        <f>IF(T7="","",T7)</f>
        <v/>
      </c>
      <c r="BG7" s="501"/>
      <c r="BH7" s="501"/>
      <c r="BI7" s="512">
        <v>0</v>
      </c>
    </row>
    <row customHeight="1" ht="11.25" hidden="1">
      <c r="A8" s="1364"/>
      <c r="B8" s="1364"/>
      <c r="C8" s="1364"/>
      <c r="D8" s="1364"/>
      <c r="E8" s="2260"/>
      <c r="F8" s="2260"/>
      <c r="G8" s="2260"/>
      <c r="H8" s="2260"/>
      <c r="I8" s="2287"/>
      <c r="J8" s="2287"/>
      <c r="K8" s="2257">
        <f>S4&amp;".1"</f>
      </c>
      <c r="L8" s="1365"/>
      <c r="P8" s="2258"/>
      <c r="Q8" s="2258"/>
      <c r="R8" s="2348">
        <v>1</v>
      </c>
      <c r="S8" s="2342">
        <f>$K8</f>
      </c>
      <c r="T8" s="2361"/>
      <c r="U8" s="301"/>
      <c r="V8" s="752"/>
      <c r="W8" s="1258"/>
      <c r="X8" s="752"/>
      <c r="Y8" s="1258"/>
      <c r="Z8" s="1735"/>
      <c r="AA8" s="1470" t="s">
        <v>61</v>
      </c>
      <c r="AB8" s="1735"/>
      <c r="AC8" s="1470" t="s">
        <v>61</v>
      </c>
      <c r="AD8" s="2186" t="s">
        <v>61</v>
      </c>
      <c r="AE8" s="2327"/>
      <c r="AF8" s="2206">
        <v>1</v>
      </c>
      <c r="AG8" s="2364"/>
      <c r="AH8" s="2108" t="s">
        <v>61</v>
      </c>
      <c r="AI8" s="2327"/>
      <c r="AJ8" s="2206">
        <v>1</v>
      </c>
      <c r="AK8" s="2328" t="s">
        <v>28</v>
      </c>
      <c r="AL8" s="2108" t="s">
        <v>61</v>
      </c>
      <c r="AM8" s="2193"/>
      <c r="AN8" s="2206">
        <v>1</v>
      </c>
      <c r="AO8" s="2358"/>
      <c r="AP8" s="2359" t="s">
        <v>61</v>
      </c>
      <c r="AQ8" s="312"/>
      <c r="AR8" s="1487">
        <v>1</v>
      </c>
      <c r="AS8" s="1493" t="s">
        <v>28</v>
      </c>
      <c r="AT8" s="752"/>
      <c r="AU8" s="1258"/>
      <c r="AV8" s="752"/>
      <c r="AW8" s="1258"/>
      <c r="AX8" s="1735"/>
      <c r="AY8" s="1470" t="s">
        <v>61</v>
      </c>
      <c r="AZ8" s="1735"/>
      <c r="BA8" s="1470" t="s">
        <v>61</v>
      </c>
      <c r="BB8" s="1349"/>
      <c r="BC8" s="2254" t="s">
        <v>520</v>
      </c>
      <c r="BE8" s="501"/>
      <c r="BF8" s="501" t="str">
        <f>IF(T8="","",T8)</f>
        <v/>
      </c>
      <c r="BG8" s="501"/>
      <c r="BH8" s="501"/>
      <c r="BI8" s="1156">
        <v>0</v>
      </c>
    </row>
    <row customHeight="1" ht="11.25" hidden="1">
      <c r="A9" s="1364"/>
      <c r="B9" s="1364"/>
      <c r="C9" s="1364"/>
      <c r="D9" s="1364"/>
      <c r="E9" s="2260"/>
      <c r="F9" s="2260"/>
      <c r="G9" s="2260"/>
      <c r="H9" s="2260"/>
      <c r="I9" s="2287"/>
      <c r="J9" s="2287"/>
      <c r="K9" s="2257"/>
      <c r="L9" s="1365"/>
      <c r="P9" s="2258"/>
      <c r="Q9" s="2258"/>
      <c r="R9" s="2348"/>
      <c r="S9" s="2343"/>
      <c r="T9" s="2362"/>
      <c r="U9" s="301"/>
      <c r="V9" s="1394"/>
      <c r="W9" s="1497"/>
      <c r="X9" s="1394"/>
      <c r="Y9" s="1497"/>
      <c r="Z9" s="1394"/>
      <c r="AA9" s="1394"/>
      <c r="AB9" s="1394"/>
      <c r="AC9" s="1394"/>
      <c r="AD9" s="2187"/>
      <c r="AE9" s="2327"/>
      <c r="AF9" s="2206"/>
      <c r="AG9" s="2364"/>
      <c r="AH9" s="2108"/>
      <c r="AI9" s="2327"/>
      <c r="AJ9" s="2206"/>
      <c r="AK9" s="2328"/>
      <c r="AL9" s="2108"/>
      <c r="AM9" s="2201"/>
      <c r="AN9" s="2206"/>
      <c r="AO9" s="2358"/>
      <c r="AP9" s="2360"/>
      <c r="AQ9" s="317"/>
      <c r="AR9" s="417"/>
      <c r="AS9" s="417" t="s">
        <v>521</v>
      </c>
      <c r="AT9" s="1394"/>
      <c r="AU9" s="1497"/>
      <c r="AV9" s="1394"/>
      <c r="AW9" s="1497"/>
      <c r="AX9" s="1394"/>
      <c r="AY9" s="1394"/>
      <c r="AZ9" s="1394"/>
      <c r="BA9" s="1394"/>
      <c r="BB9" s="1398"/>
      <c r="BC9" s="2255"/>
      <c r="BE9" s="501"/>
      <c r="BF9" s="501"/>
      <c r="BG9" s="501"/>
      <c r="BH9" s="501"/>
      <c r="BI9" s="1156">
        <v>0</v>
      </c>
    </row>
    <row customHeight="1" ht="11.25" hidden="1">
      <c r="A10" s="1364"/>
      <c r="B10" s="1364"/>
      <c r="C10" s="1364"/>
      <c r="D10" s="1364"/>
      <c r="E10" s="2260"/>
      <c r="F10" s="2260"/>
      <c r="G10" s="2260"/>
      <c r="H10" s="2260"/>
      <c r="I10" s="2287"/>
      <c r="J10" s="2287"/>
      <c r="K10" s="2257"/>
      <c r="L10" s="1365"/>
      <c r="P10" s="2258"/>
      <c r="Q10" s="2258"/>
      <c r="R10" s="2348"/>
      <c r="S10" s="2343"/>
      <c r="T10" s="2362"/>
      <c r="U10" s="301"/>
      <c r="V10" s="1394"/>
      <c r="W10" s="1497"/>
      <c r="X10" s="1394"/>
      <c r="Y10" s="1497"/>
      <c r="Z10" s="1394"/>
      <c r="AA10" s="1394"/>
      <c r="AB10" s="1394"/>
      <c r="AC10" s="1394"/>
      <c r="AD10" s="2187"/>
      <c r="AE10" s="2327"/>
      <c r="AF10" s="2206"/>
      <c r="AG10" s="2364"/>
      <c r="AH10" s="2108"/>
      <c r="AI10" s="2327"/>
      <c r="AJ10" s="2206"/>
      <c r="AK10" s="2328"/>
      <c r="AL10" s="2108"/>
      <c r="AM10" s="317"/>
      <c r="AN10" s="1501"/>
      <c r="AO10" s="1501" t="s">
        <v>522</v>
      </c>
      <c r="AP10" s="417"/>
      <c r="AQ10" s="417"/>
      <c r="AR10" s="417"/>
      <c r="AS10" s="1394"/>
      <c r="AT10" s="1394"/>
      <c r="AU10" s="1497"/>
      <c r="AV10" s="1394"/>
      <c r="AW10" s="1497"/>
      <c r="AX10" s="1394"/>
      <c r="AY10" s="1394"/>
      <c r="AZ10" s="1394"/>
      <c r="BA10" s="1394"/>
      <c r="BB10" s="1398"/>
      <c r="BC10" s="2255"/>
      <c r="BE10" s="501"/>
      <c r="BF10" s="501"/>
      <c r="BG10" s="501"/>
      <c r="BH10" s="501"/>
      <c r="BI10" s="1156">
        <v>0</v>
      </c>
    </row>
    <row customHeight="1" ht="11.25" hidden="1">
      <c r="A11" s="1364"/>
      <c r="B11" s="1364"/>
      <c r="C11" s="1364"/>
      <c r="D11" s="1364"/>
      <c r="E11" s="2260"/>
      <c r="F11" s="2260"/>
      <c r="G11" s="2260"/>
      <c r="H11" s="2260"/>
      <c r="I11" s="2287"/>
      <c r="J11" s="2287"/>
      <c r="K11" s="2257"/>
      <c r="L11" s="1365"/>
      <c r="P11" s="2258"/>
      <c r="Q11" s="2258"/>
      <c r="R11" s="2348"/>
      <c r="S11" s="2343"/>
      <c r="T11" s="2362"/>
      <c r="U11" s="301"/>
      <c r="V11" s="1394"/>
      <c r="W11" s="1497"/>
      <c r="X11" s="1394"/>
      <c r="Y11" s="1497"/>
      <c r="Z11" s="1394"/>
      <c r="AA11" s="1394"/>
      <c r="AB11" s="1394"/>
      <c r="AC11" s="1394"/>
      <c r="AD11" s="2187"/>
      <c r="AE11" s="2327"/>
      <c r="AF11" s="2206"/>
      <c r="AG11" s="2364"/>
      <c r="AH11" s="2108"/>
      <c r="AI11" s="295"/>
      <c r="AJ11" s="416"/>
      <c r="AK11" s="314" t="s">
        <v>523</v>
      </c>
      <c r="AL11" s="1394"/>
      <c r="AM11" s="1394"/>
      <c r="AN11" s="1394"/>
      <c r="AO11" s="1394"/>
      <c r="AP11" s="1394"/>
      <c r="AQ11" s="1394"/>
      <c r="AR11" s="1394"/>
      <c r="AS11" s="1394"/>
      <c r="AT11" s="1394"/>
      <c r="AU11" s="1497"/>
      <c r="AV11" s="1394"/>
      <c r="AW11" s="1497"/>
      <c r="AX11" s="1394"/>
      <c r="AY11" s="1394"/>
      <c r="AZ11" s="1394"/>
      <c r="BA11" s="1394"/>
      <c r="BB11" s="1398"/>
      <c r="BC11" s="2255"/>
      <c r="BE11" s="501"/>
      <c r="BF11" s="501"/>
      <c r="BG11" s="501"/>
      <c r="BH11" s="501"/>
      <c r="BI11" s="1156">
        <v>0</v>
      </c>
    </row>
    <row customHeight="1" ht="11.25" hidden="1">
      <c r="A12" s="1364"/>
      <c r="B12" s="1364"/>
      <c r="C12" s="1364"/>
      <c r="D12" s="1364"/>
      <c r="E12" s="2260"/>
      <c r="F12" s="2260"/>
      <c r="G12" s="2260"/>
      <c r="H12" s="2260"/>
      <c r="I12" s="2287"/>
      <c r="J12" s="2287"/>
      <c r="K12" s="2257"/>
      <c r="L12" s="1365"/>
      <c r="P12" s="2258"/>
      <c r="Q12" s="2258"/>
      <c r="R12" s="2348"/>
      <c r="S12" s="2344"/>
      <c r="T12" s="2363"/>
      <c r="U12" s="301"/>
      <c r="V12" s="1394"/>
      <c r="W12" s="1395" t="str">
        <f>Z8&amp;"-"&amp;AB8</f>
        <v>-</v>
      </c>
      <c r="X12" s="1394"/>
      <c r="Y12" s="1395" t="str">
        <f>AB8&amp;"-"&amp;AD8</f>
        <v>-да</v>
      </c>
      <c r="Z12" s="1394"/>
      <c r="AA12" s="1394"/>
      <c r="AB12" s="1394"/>
      <c r="AC12" s="1394"/>
      <c r="AD12" s="2113"/>
      <c r="AE12" s="313"/>
      <c r="AF12" s="315"/>
      <c r="AG12" s="417" t="s">
        <v>524</v>
      </c>
      <c r="AH12" s="1394"/>
      <c r="AI12" s="1394"/>
      <c r="AJ12" s="1394"/>
      <c r="AK12" s="1394"/>
      <c r="AL12" s="1394"/>
      <c r="AM12" s="1394"/>
      <c r="AN12" s="1394"/>
      <c r="AO12" s="1394"/>
      <c r="AP12" s="1394"/>
      <c r="AQ12" s="1394"/>
      <c r="AR12" s="1394"/>
      <c r="AS12" s="1394"/>
      <c r="AT12" s="1394"/>
      <c r="AU12" s="1395" t="str">
        <f>AX8&amp;"-"&amp;AZ8</f>
        <v>-</v>
      </c>
      <c r="AV12" s="1394"/>
      <c r="AW12" s="1395" t="str">
        <f>AZ8&amp;"-"&amp;BB8</f>
        <v>-</v>
      </c>
      <c r="AX12" s="1394"/>
      <c r="AY12" s="1394"/>
      <c r="AZ12" s="1394"/>
      <c r="BA12" s="1394"/>
      <c r="BB12" s="1397" t="str">
        <f>BE8&amp;"-"&amp;BG8</f>
        <v>-</v>
      </c>
      <c r="BC12" s="2255"/>
      <c r="BE12" s="501"/>
      <c r="BF12" s="501" t="str">
        <f>IF(T12="","",T12)</f>
        <v/>
      </c>
      <c r="BG12" s="501"/>
      <c r="BH12" s="501"/>
      <c r="BI12" s="1156">
        <v>0</v>
      </c>
    </row>
    <row customHeight="1" ht="11.25" hidden="1">
      <c r="A13" s="1364"/>
      <c r="B13" s="1364"/>
      <c r="C13" s="1364"/>
      <c r="D13" s="1364"/>
      <c r="E13" s="2260"/>
      <c r="F13" s="2260"/>
      <c r="G13" s="2260"/>
      <c r="H13" s="2260"/>
      <c r="I13" s="2287"/>
      <c r="J13" s="2257"/>
      <c r="K13" s="1364"/>
      <c r="L13" s="1365"/>
      <c r="P13" s="2258"/>
      <c r="Q13" s="2258"/>
      <c r="R13" s="357"/>
      <c r="S13" s="1279"/>
      <c r="T13" s="288" t="s">
        <v>487</v>
      </c>
      <c r="U13" s="368"/>
      <c r="V13" s="368"/>
      <c r="W13" s="368"/>
      <c r="X13" s="368"/>
      <c r="Y13" s="368"/>
      <c r="Z13" s="368"/>
      <c r="AA13" s="368"/>
      <c r="AB13" s="368"/>
      <c r="AC13" s="368"/>
      <c r="AD13" s="1506"/>
      <c r="AE13" s="368"/>
      <c r="AF13" s="368"/>
      <c r="AG13" s="368"/>
      <c r="AH13" s="368"/>
      <c r="AI13" s="368"/>
      <c r="AJ13" s="368"/>
      <c r="AK13" s="368"/>
      <c r="AL13" s="368"/>
      <c r="AM13" s="368"/>
      <c r="AN13" s="368"/>
      <c r="AO13" s="368"/>
      <c r="AP13" s="368"/>
      <c r="AQ13" s="368"/>
      <c r="AR13" s="368"/>
      <c r="AS13" s="368"/>
      <c r="AT13" s="368"/>
      <c r="AU13" s="368"/>
      <c r="AV13" s="368"/>
      <c r="AW13" s="368"/>
      <c r="AX13" s="368"/>
      <c r="AY13" s="368"/>
      <c r="AZ13" s="368"/>
      <c r="BA13" s="368"/>
      <c r="BB13" s="325"/>
      <c r="BC13" s="2256"/>
      <c r="BE13" s="501"/>
      <c r="BF13" s="501" t="str">
        <f>IF(T13="","",T13)</f>
        <v>Добавить строку</v>
      </c>
      <c r="BG13" s="501"/>
      <c r="BH13" s="501"/>
      <c r="BI13" s="1156">
        <v>0</v>
      </c>
    </row>
    <row s="1643" customFormat="1" customHeight="1" ht="14.25" hidden="1">
      <c r="A14" s="1344"/>
      <c r="B14" s="1344"/>
      <c r="C14" s="1344"/>
      <c r="D14" s="1344"/>
      <c r="E14" s="2260"/>
      <c r="F14" s="2260"/>
      <c r="G14" s="2260"/>
      <c r="H14" s="2260"/>
      <c r="I14" s="2257"/>
      <c r="J14" s="1344"/>
      <c r="K14" s="1344"/>
      <c r="L14" s="1347"/>
      <c r="M14" s="511"/>
      <c r="N14" s="511"/>
      <c r="O14" s="511"/>
      <c r="P14" s="2258"/>
      <c r="Q14" s="1482"/>
      <c r="R14" s="357"/>
      <c r="S14" s="1387"/>
      <c r="T14" s="1388"/>
      <c r="U14" s="1389"/>
      <c r="V14" s="1389"/>
      <c r="W14" s="1389"/>
      <c r="X14" s="1389"/>
      <c r="Y14" s="1389"/>
      <c r="Z14" s="1389"/>
      <c r="AA14" s="1389"/>
      <c r="AB14" s="1389"/>
      <c r="AC14" s="1389"/>
      <c r="AD14" s="1389"/>
      <c r="AE14" s="1389"/>
      <c r="AF14" s="1389"/>
      <c r="AG14" s="1389"/>
      <c r="AH14" s="1389"/>
      <c r="AI14" s="1389"/>
      <c r="AJ14" s="1389"/>
      <c r="AK14" s="1389"/>
      <c r="AL14" s="1389"/>
      <c r="AM14" s="1389"/>
      <c r="AN14" s="1389"/>
      <c r="AO14" s="1389"/>
      <c r="AP14" s="1389"/>
      <c r="AQ14" s="1389"/>
      <c r="AR14" s="1389"/>
      <c r="AS14" s="1389"/>
      <c r="AT14" s="1389"/>
      <c r="AU14" s="1389"/>
      <c r="AV14" s="1389"/>
      <c r="AW14" s="1389"/>
      <c r="AX14" s="1389"/>
      <c r="AY14" s="1389"/>
      <c r="AZ14" s="1389"/>
      <c r="BA14" s="1389"/>
      <c r="BB14" s="1389"/>
      <c r="BC14" s="1390"/>
      <c r="BE14" s="501"/>
      <c r="BF14" s="501" t="str">
        <f>IF(T14="","",T14)</f>
        <v/>
      </c>
      <c r="BG14" s="501"/>
      <c r="BH14" s="501"/>
      <c r="BI14" s="512">
        <v>0</v>
      </c>
    </row>
    <row s="1643" customFormat="1" customHeight="1" ht="14.25" hidden="1">
      <c r="A15" s="1344"/>
      <c r="B15" s="1344"/>
      <c r="C15" s="1344"/>
      <c r="D15" s="1344"/>
      <c r="E15" s="2260"/>
      <c r="F15" s="2260"/>
      <c r="G15" s="2260"/>
      <c r="H15" s="2259"/>
      <c r="I15" s="1344"/>
      <c r="J15" s="1344"/>
      <c r="K15" s="1344"/>
      <c r="L15" s="1347"/>
      <c r="M15" s="1316"/>
      <c r="N15" s="1316"/>
      <c r="O15" s="519"/>
      <c r="P15" s="381"/>
      <c r="Q15" s="1345"/>
      <c r="R15" s="1402"/>
      <c r="S15" s="1387"/>
      <c r="T15" s="1388"/>
      <c r="U15" s="1389"/>
      <c r="V15" s="1389"/>
      <c r="W15" s="1389"/>
      <c r="X15" s="1389"/>
      <c r="Y15" s="1389"/>
      <c r="Z15" s="1389"/>
      <c r="AA15" s="1389"/>
      <c r="AB15" s="1389"/>
      <c r="AC15" s="1389"/>
      <c r="AD15" s="1389"/>
      <c r="AE15" s="1389"/>
      <c r="AF15" s="1389"/>
      <c r="AG15" s="1389"/>
      <c r="AH15" s="1389"/>
      <c r="AI15" s="1389"/>
      <c r="AJ15" s="1389"/>
      <c r="AK15" s="1389"/>
      <c r="AL15" s="1389"/>
      <c r="AM15" s="1389"/>
      <c r="AN15" s="1389"/>
      <c r="AO15" s="1389"/>
      <c r="AP15" s="1389"/>
      <c r="AQ15" s="1389"/>
      <c r="AR15" s="1389"/>
      <c r="AS15" s="1389"/>
      <c r="AT15" s="1389"/>
      <c r="AU15" s="1389"/>
      <c r="AV15" s="1389"/>
      <c r="AW15" s="1389"/>
      <c r="AX15" s="1389"/>
      <c r="AY15" s="1389"/>
      <c r="AZ15" s="1389"/>
      <c r="BA15" s="1389"/>
      <c r="BB15" s="1389"/>
      <c r="BC15" s="1390"/>
      <c r="BE15" s="501"/>
      <c r="BF15" s="501" t="str">
        <f>IF(T15="","",T15)</f>
        <v/>
      </c>
      <c r="BG15" s="501"/>
      <c r="BH15" s="501"/>
      <c r="BI15" s="512">
        <v>0</v>
      </c>
    </row>
    <row s="1643" customFormat="1" customHeight="1" ht="14.25" hidden="1">
      <c r="A16" s="1344"/>
      <c r="B16" s="1344"/>
      <c r="C16" s="1344"/>
      <c r="D16" s="1315"/>
      <c r="E16" s="2260"/>
      <c r="F16" s="2260"/>
      <c r="G16" s="2259"/>
      <c r="H16" s="1315"/>
      <c r="I16" s="1315"/>
      <c r="J16" s="1315"/>
      <c r="K16" s="1315"/>
      <c r="L16" s="1495"/>
      <c r="M16" s="1316"/>
      <c r="N16" s="1316"/>
      <c r="P16" s="1317"/>
      <c r="Q16" s="1318"/>
      <c r="R16" s="1317"/>
      <c r="S16" s="1323"/>
      <c r="T16" s="1326"/>
      <c r="U16" s="1325"/>
      <c r="V16" s="1325"/>
      <c r="W16" s="1325"/>
      <c r="X16" s="1325"/>
      <c r="Y16" s="1325"/>
      <c r="Z16" s="1325"/>
      <c r="AA16" s="1325"/>
      <c r="AB16" s="1325"/>
      <c r="AC16" s="1325"/>
      <c r="AD16" s="1325"/>
      <c r="AE16" s="1325"/>
      <c r="AF16" s="1325"/>
      <c r="AG16" s="1325"/>
      <c r="AH16" s="1325"/>
      <c r="AI16" s="1325"/>
      <c r="AJ16" s="1325"/>
      <c r="AK16" s="1325"/>
      <c r="AL16" s="1325"/>
      <c r="AM16" s="1325"/>
      <c r="AN16" s="1325"/>
      <c r="AO16" s="1325"/>
      <c r="AP16" s="1325"/>
      <c r="AQ16" s="1325"/>
      <c r="AR16" s="1325"/>
      <c r="AS16" s="1325"/>
      <c r="AT16" s="1325"/>
      <c r="AU16" s="1325"/>
      <c r="AV16" s="1325"/>
      <c r="AW16" s="1325"/>
      <c r="AX16" s="1325"/>
      <c r="AY16" s="1325"/>
      <c r="AZ16" s="1325"/>
      <c r="BA16" s="1325"/>
      <c r="BB16" s="1325"/>
      <c r="BC16" s="1325"/>
      <c r="BE16" s="790"/>
      <c r="BF16" s="790" t="str">
        <f>IF(T16="","",T16)</f>
        <v/>
      </c>
      <c r="BG16" s="790"/>
      <c r="BH16" s="790"/>
      <c r="BI16" s="519">
        <v>0</v>
      </c>
    </row>
    <row s="1643" customFormat="1" customHeight="1" ht="14.25" hidden="1">
      <c r="A17" s="1344"/>
      <c r="B17" s="1344"/>
      <c r="C17" s="1315"/>
      <c r="D17" s="1315"/>
      <c r="E17" s="2260"/>
      <c r="F17" s="2259"/>
      <c r="G17" s="1315"/>
      <c r="H17" s="1315"/>
      <c r="I17" s="1315"/>
      <c r="J17" s="1315"/>
      <c r="K17" s="1315"/>
      <c r="L17" s="1495"/>
      <c r="M17" s="1322"/>
      <c r="N17" s="1322"/>
      <c r="P17" s="1317"/>
      <c r="Q17" s="1318"/>
      <c r="R17" s="1317"/>
      <c r="S17" s="1323"/>
      <c r="T17" s="1326" t="s">
        <v>177</v>
      </c>
      <c r="U17" s="1325"/>
      <c r="V17" s="1325"/>
      <c r="W17" s="1325"/>
      <c r="X17" s="1325"/>
      <c r="Y17" s="1325"/>
      <c r="Z17" s="1325"/>
      <c r="AA17" s="1325"/>
      <c r="AB17" s="1325"/>
      <c r="AC17" s="1325"/>
      <c r="AD17" s="1325"/>
      <c r="AE17" s="1325"/>
      <c r="AF17" s="1325"/>
      <c r="AG17" s="1325"/>
      <c r="AH17" s="1325"/>
      <c r="AI17" s="1325"/>
      <c r="AJ17" s="1325"/>
      <c r="AK17" s="1325"/>
      <c r="AL17" s="1325"/>
      <c r="AM17" s="1325"/>
      <c r="AN17" s="1325"/>
      <c r="AO17" s="1325"/>
      <c r="AP17" s="1325"/>
      <c r="AQ17" s="1325"/>
      <c r="AR17" s="1325"/>
      <c r="AS17" s="1325"/>
      <c r="AT17" s="1325"/>
      <c r="AU17" s="1325"/>
      <c r="AV17" s="1325"/>
      <c r="AW17" s="1325"/>
      <c r="AX17" s="1325"/>
      <c r="AY17" s="1325"/>
      <c r="AZ17" s="1325"/>
      <c r="BA17" s="1325"/>
      <c r="BB17" s="1325"/>
      <c r="BC17" s="1325"/>
      <c r="BE17" s="790"/>
      <c r="BF17" s="790" t="str">
        <f>IF(T17="","",T17)</f>
        <v>Добавить централизованную систему для дифференциации</v>
      </c>
      <c r="BG17" s="790"/>
      <c r="BH17" s="790"/>
      <c r="BI17" s="519">
        <v>0</v>
      </c>
    </row>
    <row s="1643" customFormat="1" customHeight="1" ht="14.25" hidden="1">
      <c r="A18" s="1344"/>
      <c r="B18" s="1344"/>
      <c r="C18" s="1344"/>
      <c r="D18" s="1344"/>
      <c r="E18" s="2259"/>
      <c r="F18" s="1344"/>
      <c r="G18" s="1344"/>
      <c r="H18" s="1344"/>
      <c r="I18" s="1344"/>
      <c r="J18" s="1344"/>
      <c r="K18" s="1344"/>
      <c r="L18" s="1347"/>
      <c r="M18" s="1322"/>
      <c r="N18" s="1322"/>
      <c r="O18" s="519"/>
      <c r="P18" s="381"/>
      <c r="Q18" s="1345"/>
      <c r="R18" s="381"/>
      <c r="S18" s="1323"/>
      <c r="T18" s="1326" t="s">
        <v>178</v>
      </c>
      <c r="U18" s="1325"/>
      <c r="V18" s="1325"/>
      <c r="W18" s="1325"/>
      <c r="X18" s="1325"/>
      <c r="Y18" s="1325"/>
      <c r="Z18" s="1325"/>
      <c r="AA18" s="1325"/>
      <c r="AB18" s="1325"/>
      <c r="AC18" s="1325"/>
      <c r="AD18" s="1325"/>
      <c r="AE18" s="1325"/>
      <c r="AF18" s="1325"/>
      <c r="AG18" s="1325"/>
      <c r="AH18" s="1325"/>
      <c r="AI18" s="1325"/>
      <c r="AJ18" s="1325"/>
      <c r="AK18" s="1325"/>
      <c r="AL18" s="1325"/>
      <c r="AM18" s="1325"/>
      <c r="AN18" s="1325"/>
      <c r="AO18" s="1325"/>
      <c r="AP18" s="1325"/>
      <c r="AQ18" s="1325"/>
      <c r="AR18" s="1325"/>
      <c r="AS18" s="1325"/>
      <c r="AT18" s="1325"/>
      <c r="AU18" s="1325"/>
      <c r="AV18" s="1325"/>
      <c r="AW18" s="1325"/>
      <c r="AX18" s="1325"/>
      <c r="AY18" s="1325"/>
      <c r="AZ18" s="1325"/>
      <c r="BA18" s="1325"/>
      <c r="BB18" s="1325"/>
      <c r="BC18" s="1325"/>
      <c r="BE18" s="501"/>
      <c r="BF18" s="501" t="str">
        <f>IF(T18="","",T18)</f>
        <v>Добавить территорию для дифференциации</v>
      </c>
      <c r="BG18" s="501"/>
      <c r="BH18" s="501"/>
      <c r="BI18" s="512">
        <v>0</v>
      </c>
    </row>
    <row customHeight="1" ht="14.25" hidden="1">
      <c r="AC19" s="328"/>
      <c r="BA19" s="328"/>
      <c r="BI19" s="1156">
        <v>0</v>
      </c>
    </row>
    <row customHeight="1" ht="14.25" hidden="1">
      <c r="AD20" s="1325" t="s">
        <v>19</v>
      </c>
      <c r="AE20" s="1502"/>
      <c r="AF20" s="549">
        <v>1</v>
      </c>
      <c r="AG20" s="1503"/>
      <c r="AH20" s="1325" t="s">
        <v>19</v>
      </c>
      <c r="AI20" s="1502"/>
      <c r="AJ20" s="549">
        <v>1</v>
      </c>
      <c r="AK20" s="1503"/>
      <c r="AL20" s="1325" t="s">
        <v>19</v>
      </c>
      <c r="AM20" s="1504"/>
      <c r="AN20" s="549">
        <v>1</v>
      </c>
      <c r="AO20" s="1505"/>
      <c r="AP20" s="1325" t="s">
        <v>19</v>
      </c>
      <c r="AQ20" s="1504"/>
      <c r="AR20" s="549">
        <v>1</v>
      </c>
      <c r="AS20" s="1505"/>
      <c r="AT20" s="326"/>
      <c r="AU20" s="385"/>
      <c r="AV20" s="326"/>
      <c r="AW20" s="385"/>
      <c r="AX20" s="1737"/>
      <c r="AY20" s="1486" t="s">
        <v>61</v>
      </c>
      <c r="AZ20" s="1737"/>
      <c r="BA20" s="1486" t="s">
        <v>61</v>
      </c>
      <c r="BI20" s="1156">
        <v>0</v>
      </c>
    </row>
    <row customHeight="1" ht="14.25" hidden="1">
      <c r="BD21" s="497"/>
      <c r="BE21" s="497"/>
      <c r="BF21" s="497"/>
      <c r="BG21" s="497"/>
      <c r="BH21" s="497"/>
      <c r="BI21" s="1156">
        <v>0</v>
      </c>
    </row>
    <row customHeight="1" ht="14.25" hidden="1">
      <c r="O22" s="1368" t="s">
        <v>431</v>
      </c>
      <c r="Z22" s="1346"/>
      <c r="AB22" s="1346"/>
      <c r="AC22" s="328"/>
      <c r="AX22" s="1346"/>
      <c r="AZ22" s="1346"/>
      <c r="BA22" s="328"/>
      <c r="BD22" s="497"/>
      <c r="BE22" s="497"/>
      <c r="BF22" s="497"/>
      <c r="BG22" s="497"/>
      <c r="BH22" s="497"/>
      <c r="BI22" s="1156">
        <v>0</v>
      </c>
    </row>
    <row customHeight="1" ht="14.25" hidden="1">
      <c r="AC23" s="328"/>
      <c r="BA23" s="328"/>
      <c r="BD23" s="497"/>
      <c r="BE23" s="497"/>
      <c r="BF23" s="497"/>
      <c r="BG23" s="497"/>
      <c r="BH23" s="497"/>
      <c r="BI23" s="1156">
        <v>0</v>
      </c>
    </row>
    <row s="1510" customFormat="1" customHeight="1" ht="14.25" hidden="1">
      <c r="M24" s="1509"/>
      <c r="N24" s="1509"/>
      <c r="O24" s="1510" t="s">
        <v>432</v>
      </c>
      <c r="P24" s="1509"/>
      <c r="Q24" s="1511"/>
      <c r="R24" s="1511"/>
      <c r="AA24" s="1508" t="s">
        <v>434</v>
      </c>
      <c r="AC24" s="1508" t="s">
        <v>435</v>
      </c>
      <c r="AD24" s="1508" t="s">
        <v>488</v>
      </c>
      <c r="AH24" s="1508" t="s">
        <v>488</v>
      </c>
      <c r="AK24" s="1508" t="s">
        <v>525</v>
      </c>
      <c r="AL24" s="1508" t="s">
        <v>488</v>
      </c>
      <c r="AP24" s="1508" t="s">
        <v>488</v>
      </c>
      <c r="AY24" s="1508" t="s">
        <v>434</v>
      </c>
      <c r="BA24" s="1508" t="s">
        <v>435</v>
      </c>
      <c r="BD24" s="1512"/>
      <c r="BE24" s="1512"/>
      <c r="BF24" s="1512"/>
      <c r="BG24" s="1512"/>
      <c r="BH24" s="1512"/>
      <c r="BI24" s="1508">
        <v>0</v>
      </c>
    </row>
    <row customHeight="1" ht="14.25" hidden="1">
      <c r="O25" s="1365"/>
      <c r="BD25" s="497"/>
      <c r="BE25" s="497"/>
      <c r="BF25" s="497"/>
      <c r="BG25" s="497"/>
      <c r="BH25" s="497"/>
      <c r="BI25" s="1156">
        <v>0</v>
      </c>
    </row>
    <row customHeight="1" ht="14.25" hidden="1">
      <c r="O26" s="1365"/>
      <c r="BD26" s="497"/>
      <c r="BE26" s="497"/>
      <c r="BF26" s="497"/>
      <c r="BG26" s="497"/>
      <c r="BH26" s="497"/>
      <c r="BI26" s="1156">
        <v>0</v>
      </c>
    </row>
    <row customHeight="1" ht="14.699999999999998">
      <c r="Q27" s="292"/>
      <c r="R27" s="377"/>
      <c r="S27" s="1276"/>
      <c r="T27" s="364"/>
      <c r="U27" s="364"/>
      <c r="V27" s="510"/>
      <c r="W27" s="510"/>
      <c r="X27" s="510"/>
      <c r="Y27" s="510"/>
      <c r="Z27" s="510"/>
      <c r="AA27" s="510"/>
      <c r="AB27" s="510"/>
      <c r="AC27" s="510"/>
      <c r="AD27" s="510"/>
      <c r="AE27" s="510"/>
      <c r="AF27" s="510"/>
      <c r="AG27" s="510"/>
      <c r="AH27" s="510"/>
      <c r="AI27" s="510"/>
      <c r="AJ27" s="510"/>
      <c r="AK27" s="510"/>
      <c r="AL27" s="510"/>
      <c r="AM27" s="510"/>
      <c r="AN27" s="510"/>
      <c r="AO27" s="510"/>
      <c r="AP27" s="510"/>
      <c r="AQ27" s="510"/>
      <c r="AR27" s="510"/>
      <c r="AS27" s="510"/>
      <c r="AT27" s="510"/>
      <c r="AU27" s="510"/>
      <c r="AV27" s="510"/>
      <c r="AW27" s="510"/>
      <c r="AX27" s="510"/>
      <c r="AY27" s="510"/>
      <c r="AZ27" s="510"/>
      <c r="BA27" s="510"/>
      <c r="BI27" s="1156">
        <v>14</v>
      </c>
    </row>
    <row customHeight="1" ht="14.699999999999998">
      <c r="Q28" s="292"/>
      <c r="R28" s="377"/>
      <c r="S28" s="2249" t="str">
        <f>IF(TEMPLATE_GROUP="P",PT_P_FORM_HOTVSNA_5_NAME_FORM,PT_R_FORM_HOTVSNA_17_NAME_FORM)</f>
        <v>Форма 14. Информация о предложении организации горячего водоснабжения расчетной величины тарифов на подключение (технологическое присоединение) к централизованной системе горячего водоснабжения</v>
      </c>
      <c r="T28" s="2249"/>
      <c r="U28" s="2249"/>
      <c r="V28" s="2249"/>
      <c r="W28" s="2249"/>
      <c r="X28" s="2249"/>
      <c r="Y28" s="2249"/>
      <c r="Z28" s="2249"/>
      <c r="AA28" s="2249"/>
      <c r="AB28" s="2249"/>
      <c r="AC28" s="2249"/>
      <c r="AD28" s="2249"/>
      <c r="AE28" s="2249"/>
      <c r="AF28" s="2249"/>
      <c r="AG28" s="2249"/>
      <c r="AH28" s="2249"/>
      <c r="AI28" s="2249"/>
      <c r="AJ28" s="2249"/>
      <c r="AK28" s="2249"/>
      <c r="AL28" s="2249"/>
      <c r="AM28" s="2249"/>
      <c r="AN28" s="2249"/>
      <c r="AO28" s="2249"/>
      <c r="AP28" s="2249"/>
      <c r="AQ28" s="2249"/>
      <c r="AR28" s="2249"/>
      <c r="AS28" s="2249"/>
      <c r="AT28" s="2249"/>
      <c r="AU28" s="2249"/>
      <c r="AV28" s="2249"/>
      <c r="AW28" s="2249"/>
      <c r="AX28" s="2249"/>
      <c r="AY28" s="2249"/>
      <c r="AZ28" s="2249"/>
      <c r="BA28" s="1244"/>
      <c r="BI28" s="1156">
        <v>14</v>
      </c>
    </row>
    <row customHeight="1" ht="14.699999999999998">
      <c r="Q29" s="292"/>
      <c r="R29" s="377"/>
      <c r="S29" s="2250" t="str">
        <f>IF(org=0,"Не определено",org)</f>
        <v>ПАО "КГК"</v>
      </c>
      <c r="T29" s="2250"/>
      <c r="U29" s="2250"/>
      <c r="V29" s="2250"/>
      <c r="W29" s="2250"/>
      <c r="X29" s="2250"/>
      <c r="Y29" s="2250"/>
      <c r="Z29" s="2250"/>
      <c r="AA29" s="2250"/>
      <c r="AB29" s="2250"/>
      <c r="AC29" s="2250"/>
      <c r="AD29" s="2250"/>
      <c r="AE29" s="2250"/>
      <c r="AF29" s="2250"/>
      <c r="AG29" s="2250"/>
      <c r="AH29" s="2250"/>
      <c r="AI29" s="2250"/>
      <c r="AJ29" s="2250"/>
      <c r="AK29" s="2250"/>
      <c r="AL29" s="2250"/>
      <c r="AM29" s="2250"/>
      <c r="AN29" s="2250"/>
      <c r="AO29" s="2250"/>
      <c r="AP29" s="2250"/>
      <c r="AQ29" s="2250"/>
      <c r="AR29" s="2250"/>
      <c r="AS29" s="2250"/>
      <c r="AT29" s="2250"/>
      <c r="AU29" s="2250"/>
      <c r="AV29" s="2250"/>
      <c r="AW29" s="2250"/>
      <c r="AX29" s="2250"/>
      <c r="AY29" s="2250"/>
      <c r="AZ29" s="2250"/>
      <c r="BA29" s="1244"/>
      <c r="BI29" s="1156">
        <v>14</v>
      </c>
    </row>
    <row customHeight="1" ht="14.25" hidden="1">
      <c r="Q30" s="292"/>
      <c r="R30" s="377"/>
      <c r="S30" s="1276"/>
      <c r="T30" s="364"/>
      <c r="U30" s="364"/>
      <c r="V30" s="323"/>
      <c r="W30" s="323"/>
      <c r="X30" s="323"/>
      <c r="Y30" s="323"/>
      <c r="Z30" s="323"/>
      <c r="AA30" s="323"/>
      <c r="AB30" s="323"/>
      <c r="AC30" s="323"/>
      <c r="AD30" s="323"/>
      <c r="AE30" s="323"/>
      <c r="AF30" s="323"/>
      <c r="AG30" s="323"/>
      <c r="AH30" s="323"/>
      <c r="AI30" s="323"/>
      <c r="AJ30" s="323"/>
      <c r="AK30" s="323"/>
      <c r="AL30" s="323"/>
      <c r="AM30" s="323"/>
      <c r="AN30" s="323"/>
      <c r="AO30" s="323"/>
      <c r="AP30" s="323"/>
      <c r="AQ30" s="323"/>
      <c r="AR30" s="323"/>
      <c r="AS30" s="323"/>
      <c r="AT30" s="323"/>
      <c r="AU30" s="323"/>
      <c r="AV30" s="323"/>
      <c r="AW30" s="323"/>
      <c r="AX30" s="323"/>
      <c r="AY30" s="323"/>
      <c r="AZ30" s="323"/>
      <c r="BA30" s="323"/>
      <c r="BB30" s="510"/>
      <c r="BI30" s="1156">
        <v>0</v>
      </c>
    </row>
    <row s="1854" customFormat="1" customHeight="1" ht="25.5" hidden="1">
      <c r="A31" s="1369"/>
      <c r="B31" s="1369"/>
      <c r="C31" s="1369"/>
      <c r="D31" s="1369"/>
      <c r="E31" s="1369"/>
      <c r="F31" s="1369"/>
      <c r="G31" s="1369"/>
      <c r="H31" s="1369"/>
      <c r="I31" s="1369"/>
      <c r="J31" s="1369"/>
      <c r="K31" s="1369"/>
      <c r="L31" s="1370"/>
      <c r="M31" s="1369"/>
      <c r="N31" s="1369"/>
      <c r="O31" s="1369"/>
      <c r="P31" s="1369"/>
      <c r="Q31" s="1369"/>
      <c r="S31" s="2251" t="s">
        <v>42</v>
      </c>
      <c r="T31" s="2251"/>
      <c r="U31" s="1373"/>
      <c r="V31" s="2252" t="str">
        <f>IF(TITLE_NAME_OR_PR_CHANGE="",IF(TITLE_NAME_OR_PR="","",TITLE_NAME_OR_PR),TITLE_NAME_OR_PR_CHANGE)</f>
        <v/>
      </c>
      <c r="W31" s="2252"/>
      <c r="X31" s="2252"/>
      <c r="Y31" s="2252"/>
      <c r="Z31" s="2252"/>
      <c r="AA31" s="2252"/>
      <c r="AB31" s="2252"/>
      <c r="AC31" s="327"/>
      <c r="AD31" s="2252" t="str">
        <f>IF(TITLE_NAME_OR_PR_CHANGE="",IF(TITLE_NAME_OR_PR="","",TITLE_NAME_OR_PR),TITLE_NAME_OR_PR_CHANGE)</f>
        <v/>
      </c>
      <c r="AE31" s="2252"/>
      <c r="AF31" s="2252"/>
      <c r="AG31" s="2252"/>
      <c r="AH31" s="2252"/>
      <c r="AI31" s="2252"/>
      <c r="AJ31" s="2252"/>
      <c r="AK31" s="2252"/>
      <c r="AL31" s="2252"/>
      <c r="AM31" s="2252"/>
      <c r="AN31" s="2252"/>
      <c r="AO31" s="2252"/>
      <c r="AP31" s="2252"/>
      <c r="AQ31" s="2252"/>
      <c r="AR31" s="2252"/>
      <c r="AS31" s="2252"/>
      <c r="AT31" s="2252"/>
      <c r="AU31" s="2252"/>
      <c r="AV31" s="2252"/>
      <c r="AW31" s="2252"/>
      <c r="AX31" s="2252"/>
      <c r="AY31" s="2252"/>
      <c r="AZ31" s="2252"/>
      <c r="BA31" s="327"/>
      <c r="BB31" s="327"/>
      <c r="BC31" s="281"/>
      <c r="BD31" s="369"/>
      <c r="BE31" s="369"/>
      <c r="BF31" s="369"/>
      <c r="BG31" s="369"/>
      <c r="BH31" s="369"/>
      <c r="BI31" s="419">
        <v>0</v>
      </c>
    </row>
    <row s="1854" customFormat="1" customHeight="1" ht="18.75" hidden="1">
      <c r="A32" s="1369"/>
      <c r="B32" s="1369"/>
      <c r="C32" s="1369"/>
      <c r="D32" s="1369"/>
      <c r="E32" s="1369"/>
      <c r="F32" s="1369"/>
      <c r="G32" s="1369"/>
      <c r="H32" s="1369"/>
      <c r="I32" s="1369"/>
      <c r="J32" s="1369"/>
      <c r="K32" s="1369"/>
      <c r="L32" s="1370"/>
      <c r="M32" s="1369"/>
      <c r="N32" s="1369"/>
      <c r="O32" s="1369"/>
      <c r="P32" s="1369"/>
      <c r="Q32" s="1369"/>
      <c r="S32" s="2251" t="s">
        <v>437</v>
      </c>
      <c r="T32" s="2251"/>
      <c r="U32" s="1373"/>
      <c r="V32" s="2265" t="str">
        <f>IF(TITLE_DATE_PR_CHANGE="",IF(TITLE_DATE_PR="","",TITLE_DATE_PR),TITLE_DATE_PR_CHANGE)</f>
        <v>46142</v>
      </c>
      <c r="W32" s="2265"/>
      <c r="X32" s="2265"/>
      <c r="Y32" s="2265"/>
      <c r="Z32" s="2265"/>
      <c r="AA32" s="2265"/>
      <c r="AB32" s="2265"/>
      <c r="AC32" s="327"/>
      <c r="AD32" s="2265" t="str">
        <f>IF(TITLE_DATE_PR_CHANGE="",IF(TITLE_DATE_PR="","",TITLE_DATE_PR),TITLE_DATE_PR_CHANGE)</f>
        <v>46142</v>
      </c>
      <c r="AE32" s="2265"/>
      <c r="AF32" s="2265"/>
      <c r="AG32" s="2265"/>
      <c r="AH32" s="2265"/>
      <c r="AI32" s="2265"/>
      <c r="AJ32" s="2265"/>
      <c r="AK32" s="2265"/>
      <c r="AL32" s="2265"/>
      <c r="AM32" s="2265"/>
      <c r="AN32" s="2265"/>
      <c r="AO32" s="2265"/>
      <c r="AP32" s="2265"/>
      <c r="AQ32" s="2265"/>
      <c r="AR32" s="2265"/>
      <c r="AS32" s="2265"/>
      <c r="AT32" s="2265"/>
      <c r="AU32" s="2265"/>
      <c r="AV32" s="2265"/>
      <c r="AW32" s="2265"/>
      <c r="AX32" s="2265"/>
      <c r="AY32" s="2265"/>
      <c r="AZ32" s="2265"/>
      <c r="BA32" s="327"/>
      <c r="BB32" s="327"/>
      <c r="BC32" s="281"/>
      <c r="BD32" s="369"/>
      <c r="BE32" s="369"/>
      <c r="BF32" s="369"/>
      <c r="BG32" s="369"/>
      <c r="BH32" s="369"/>
      <c r="BI32" s="419">
        <v>0</v>
      </c>
    </row>
    <row s="1854" customFormat="1" customHeight="1" ht="18.75" hidden="1">
      <c r="A33" s="1369"/>
      <c r="B33" s="1369"/>
      <c r="C33" s="1369"/>
      <c r="D33" s="1369"/>
      <c r="E33" s="1369"/>
      <c r="F33" s="1369"/>
      <c r="G33" s="1369"/>
      <c r="H33" s="1369"/>
      <c r="I33" s="1369"/>
      <c r="J33" s="1369"/>
      <c r="K33" s="1369"/>
      <c r="L33" s="1370"/>
      <c r="M33" s="1369"/>
      <c r="N33" s="1369"/>
      <c r="O33" s="1369"/>
      <c r="P33" s="1369"/>
      <c r="Q33" s="1369"/>
      <c r="S33" s="2251" t="s">
        <v>438</v>
      </c>
      <c r="T33" s="2251"/>
      <c r="U33" s="1373"/>
      <c r="V33" s="2252" t="str">
        <f>IF(TITLE_NUMBER_PR_CHANGE="",IF(TITLE_NUMBER_PR="","",TITLE_NUMBER_PR),TITLE_NUMBER_PR_CHANGE)</f>
        <v>206Т</v>
      </c>
      <c r="W33" s="2252"/>
      <c r="X33" s="2252"/>
      <c r="Y33" s="2252"/>
      <c r="Z33" s="2252"/>
      <c r="AA33" s="2252"/>
      <c r="AB33" s="2252"/>
      <c r="AC33" s="327"/>
      <c r="AD33" s="2252" t="str">
        <f>IF(TITLE_NUMBER_PR_CHANGE="",IF(TITLE_NUMBER_PR="","",TITLE_NUMBER_PR),TITLE_NUMBER_PR_CHANGE)</f>
        <v>206Т</v>
      </c>
      <c r="AE33" s="2252"/>
      <c r="AF33" s="2252"/>
      <c r="AG33" s="2252"/>
      <c r="AH33" s="2252"/>
      <c r="AI33" s="2252"/>
      <c r="AJ33" s="2252"/>
      <c r="AK33" s="2252"/>
      <c r="AL33" s="2252"/>
      <c r="AM33" s="2252"/>
      <c r="AN33" s="2252"/>
      <c r="AO33" s="2252"/>
      <c r="AP33" s="2252"/>
      <c r="AQ33" s="2252"/>
      <c r="AR33" s="2252"/>
      <c r="AS33" s="2252"/>
      <c r="AT33" s="2252"/>
      <c r="AU33" s="2252"/>
      <c r="AV33" s="2252"/>
      <c r="AW33" s="2252"/>
      <c r="AX33" s="2252"/>
      <c r="AY33" s="2252"/>
      <c r="AZ33" s="2252"/>
      <c r="BA33" s="327"/>
      <c r="BB33" s="327"/>
      <c r="BC33" s="281"/>
      <c r="BD33" s="369"/>
      <c r="BE33" s="369"/>
      <c r="BF33" s="369"/>
      <c r="BG33" s="369"/>
      <c r="BH33" s="369"/>
      <c r="BI33" s="419">
        <v>0</v>
      </c>
    </row>
    <row s="1854" customFormat="1" customHeight="1" ht="18.75" hidden="1">
      <c r="A34" s="1369"/>
      <c r="B34" s="1369"/>
      <c r="C34" s="1369"/>
      <c r="D34" s="1369"/>
      <c r="E34" s="1369"/>
      <c r="F34" s="1369"/>
      <c r="G34" s="1369"/>
      <c r="H34" s="1369"/>
      <c r="I34" s="1369"/>
      <c r="J34" s="1369"/>
      <c r="K34" s="1369"/>
      <c r="L34" s="1370"/>
      <c r="M34" s="1369"/>
      <c r="N34" s="1369"/>
      <c r="O34" s="1369"/>
      <c r="P34" s="1369"/>
      <c r="Q34" s="1369"/>
      <c r="S34" s="2251" t="s">
        <v>43</v>
      </c>
      <c r="T34" s="2251"/>
      <c r="U34" s="1373"/>
      <c r="V34" s="2252" t="str">
        <f>IF(TITLE_IST_PUB_CHANGE="",IF(TITLE_IST_PUB="","",TITLE_IST_PUB),TITLE_IST_PUB_CHANGE)</f>
        <v/>
      </c>
      <c r="W34" s="2252"/>
      <c r="X34" s="2252"/>
      <c r="Y34" s="2252"/>
      <c r="Z34" s="2252"/>
      <c r="AA34" s="2252"/>
      <c r="AB34" s="2252"/>
      <c r="AC34" s="327"/>
      <c r="AD34" s="2252" t="str">
        <f>IF(TITLE_IST_PUB_CHANGE="",IF(TITLE_IST_PUB="","",TITLE_IST_PUB),TITLE_IST_PUB_CHANGE)</f>
        <v/>
      </c>
      <c r="AE34" s="2252"/>
      <c r="AF34" s="2252"/>
      <c r="AG34" s="2252"/>
      <c r="AH34" s="2252"/>
      <c r="AI34" s="2252"/>
      <c r="AJ34" s="2252"/>
      <c r="AK34" s="2252"/>
      <c r="AL34" s="2252"/>
      <c r="AM34" s="2252"/>
      <c r="AN34" s="2252"/>
      <c r="AO34" s="2252"/>
      <c r="AP34" s="2252"/>
      <c r="AQ34" s="2252"/>
      <c r="AR34" s="2252"/>
      <c r="AS34" s="2252"/>
      <c r="AT34" s="2252"/>
      <c r="AU34" s="2252"/>
      <c r="AV34" s="2252"/>
      <c r="AW34" s="2252"/>
      <c r="AX34" s="2252"/>
      <c r="AY34" s="2252"/>
      <c r="AZ34" s="2252"/>
      <c r="BA34" s="327"/>
      <c r="BB34" s="327"/>
      <c r="BC34" s="281"/>
      <c r="BD34" s="369"/>
      <c r="BE34" s="369"/>
      <c r="BF34" s="369"/>
      <c r="BG34" s="369"/>
      <c r="BH34" s="369"/>
      <c r="BI34" s="419">
        <v>0</v>
      </c>
    </row>
    <row customHeight="1" ht="14.25">
      <c r="Q35" s="292"/>
      <c r="R35" s="377"/>
      <c r="S35" s="1276"/>
      <c r="T35" s="364"/>
      <c r="U35" s="364"/>
      <c r="V35" s="323"/>
      <c r="W35" s="323"/>
      <c r="X35" s="323"/>
      <c r="Y35" s="323"/>
      <c r="Z35" s="323"/>
      <c r="AA35" s="323"/>
      <c r="AB35" s="323"/>
      <c r="AC35" s="323"/>
      <c r="AD35" s="323"/>
      <c r="AE35" s="323"/>
      <c r="AF35" s="323"/>
      <c r="AG35" s="323"/>
      <c r="AH35" s="323"/>
      <c r="AI35" s="323"/>
      <c r="AJ35" s="323"/>
      <c r="AK35" s="323"/>
      <c r="AL35" s="323"/>
      <c r="AM35" s="323"/>
      <c r="AN35" s="323"/>
      <c r="AO35" s="323"/>
      <c r="AP35" s="323"/>
      <c r="AQ35" s="323"/>
      <c r="AR35" s="323"/>
      <c r="AS35" s="323"/>
      <c r="AT35" s="323"/>
      <c r="AU35" s="323"/>
      <c r="AV35" s="323"/>
      <c r="AW35" s="323"/>
      <c r="AX35" s="323"/>
      <c r="AY35" s="323"/>
      <c r="AZ35" s="323"/>
      <c r="BA35" s="323"/>
      <c r="BB35" s="510"/>
      <c r="BI35" s="1156">
        <v>0</v>
      </c>
    </row>
    <row s="1854" customFormat="1" customHeight="1" ht="18.75">
      <c r="A36" s="1369"/>
      <c r="B36" s="1369"/>
      <c r="C36" s="1369"/>
      <c r="D36" s="1369"/>
      <c r="E36" s="1369"/>
      <c r="F36" s="1369"/>
      <c r="G36" s="1369"/>
      <c r="H36" s="1369"/>
      <c r="I36" s="1369"/>
      <c r="J36" s="1369"/>
      <c r="K36" s="1369"/>
      <c r="L36" s="1370"/>
      <c r="M36" s="1369"/>
      <c r="N36" s="1369"/>
      <c r="O36" s="1369"/>
      <c r="P36" s="1369"/>
      <c r="Q36" s="1369"/>
      <c r="S36" s="2251" t="s">
        <v>437</v>
      </c>
      <c r="T36" s="2251"/>
      <c r="U36" s="1373"/>
      <c r="V36" s="2265" t="str">
        <f>IF(TITLE_DATE_PR_CHANGE="",IF(TITLE_DATE_PR="","",TITLE_DATE_PR),TITLE_DATE_PR_CHANGE)</f>
        <v>46142</v>
      </c>
      <c r="W36" s="2265"/>
      <c r="X36" s="2265"/>
      <c r="Y36" s="2265"/>
      <c r="Z36" s="2265"/>
      <c r="AA36" s="2265"/>
      <c r="AB36" s="2265"/>
      <c r="AC36" s="327"/>
      <c r="AD36" s="2265" t="str">
        <f>IF(TITLE_DATE_PR_CHANGE="",IF(TITLE_DATE_PR="","",TITLE_DATE_PR),TITLE_DATE_PR_CHANGE)</f>
        <v>46142</v>
      </c>
      <c r="AE36" s="2265"/>
      <c r="AF36" s="2265"/>
      <c r="AG36" s="2265"/>
      <c r="AH36" s="2265"/>
      <c r="AI36" s="2265"/>
      <c r="AJ36" s="2265"/>
      <c r="AK36" s="2265"/>
      <c r="AL36" s="2265"/>
      <c r="AM36" s="2265"/>
      <c r="AN36" s="2265"/>
      <c r="AO36" s="2265"/>
      <c r="AP36" s="2265"/>
      <c r="AQ36" s="2265"/>
      <c r="AR36" s="2265"/>
      <c r="AS36" s="2265"/>
      <c r="AT36" s="2265"/>
      <c r="AU36" s="2265"/>
      <c r="AV36" s="2265"/>
      <c r="AW36" s="2265"/>
      <c r="AX36" s="2265"/>
      <c r="AY36" s="2265"/>
      <c r="AZ36" s="2265"/>
      <c r="BA36" s="327"/>
      <c r="BB36" s="327"/>
      <c r="BC36" s="281"/>
      <c r="BD36" s="369"/>
      <c r="BE36" s="369"/>
      <c r="BF36" s="369"/>
      <c r="BG36" s="369"/>
      <c r="BH36" s="369"/>
      <c r="BI36" s="419">
        <v>0</v>
      </c>
    </row>
    <row s="1854" customFormat="1" customHeight="1" ht="18.75">
      <c r="A37" s="1369"/>
      <c r="B37" s="1369"/>
      <c r="C37" s="1369"/>
      <c r="D37" s="1369"/>
      <c r="E37" s="1369"/>
      <c r="F37" s="1369"/>
      <c r="G37" s="1369"/>
      <c r="H37" s="1369"/>
      <c r="I37" s="1369"/>
      <c r="J37" s="1369"/>
      <c r="K37" s="1369"/>
      <c r="L37" s="1370"/>
      <c r="M37" s="1369"/>
      <c r="N37" s="1369"/>
      <c r="O37" s="1369"/>
      <c r="P37" s="1369"/>
      <c r="Q37" s="1369"/>
      <c r="S37" s="2251" t="s">
        <v>438</v>
      </c>
      <c r="T37" s="2251"/>
      <c r="U37" s="1373"/>
      <c r="V37" s="2252" t="str">
        <f>IF(TITLE_NUMBER_PR_CHANGE="",IF(TITLE_NUMBER_PR="","",TITLE_NUMBER_PR),TITLE_NUMBER_PR_CHANGE)</f>
        <v>206Т</v>
      </c>
      <c r="W37" s="2252"/>
      <c r="X37" s="2252"/>
      <c r="Y37" s="2252"/>
      <c r="Z37" s="2252"/>
      <c r="AA37" s="2252"/>
      <c r="AB37" s="2252"/>
      <c r="AC37" s="327"/>
      <c r="AD37" s="2252" t="str">
        <f>IF(TITLE_NUMBER_PR_CHANGE="",IF(TITLE_NUMBER_PR="","",TITLE_NUMBER_PR),TITLE_NUMBER_PR_CHANGE)</f>
        <v>206Т</v>
      </c>
      <c r="AE37" s="2252"/>
      <c r="AF37" s="2252"/>
      <c r="AG37" s="2252"/>
      <c r="AH37" s="2252"/>
      <c r="AI37" s="2252"/>
      <c r="AJ37" s="2252"/>
      <c r="AK37" s="2252"/>
      <c r="AL37" s="2252"/>
      <c r="AM37" s="2252"/>
      <c r="AN37" s="2252"/>
      <c r="AO37" s="2252"/>
      <c r="AP37" s="2252"/>
      <c r="AQ37" s="2252"/>
      <c r="AR37" s="2252"/>
      <c r="AS37" s="2252"/>
      <c r="AT37" s="2252"/>
      <c r="AU37" s="2252"/>
      <c r="AV37" s="2252"/>
      <c r="AW37" s="2252"/>
      <c r="AX37" s="2252"/>
      <c r="AY37" s="2252"/>
      <c r="AZ37" s="2252"/>
      <c r="BA37" s="327"/>
      <c r="BB37" s="327"/>
      <c r="BC37" s="281"/>
      <c r="BD37" s="369"/>
      <c r="BE37" s="369"/>
      <c r="BF37" s="369"/>
      <c r="BG37" s="369"/>
      <c r="BH37" s="369"/>
      <c r="BI37" s="419">
        <v>0</v>
      </c>
    </row>
    <row s="1854" customFormat="1" customHeight="1" ht="0">
      <c r="A38" s="1369"/>
      <c r="B38" s="1369"/>
      <c r="C38" s="1369"/>
      <c r="D38" s="1369"/>
      <c r="E38" s="1369"/>
      <c r="F38" s="1369"/>
      <c r="G38" s="1369"/>
      <c r="H38" s="1369"/>
      <c r="I38" s="1369"/>
      <c r="J38" s="1369"/>
      <c r="K38" s="1369"/>
      <c r="L38" s="1370"/>
      <c r="M38" s="1369"/>
      <c r="N38" s="1369"/>
      <c r="O38" s="1369"/>
      <c r="P38" s="1369"/>
      <c r="Q38" s="1369"/>
      <c r="S38" s="324"/>
      <c r="T38" s="324"/>
      <c r="U38" s="1489"/>
      <c r="V38" s="327"/>
      <c r="W38" s="327"/>
      <c r="X38" s="327"/>
      <c r="Y38" s="327"/>
      <c r="Z38" s="327"/>
      <c r="AA38" s="327"/>
      <c r="AB38" s="327"/>
      <c r="AC38" s="279" t="s">
        <v>441</v>
      </c>
      <c r="AD38" s="327"/>
      <c r="AE38" s="327"/>
      <c r="AF38" s="327"/>
      <c r="AG38" s="327"/>
      <c r="AH38" s="327"/>
      <c r="AI38" s="327"/>
      <c r="AJ38" s="327"/>
      <c r="AK38" s="327"/>
      <c r="AL38" s="327"/>
      <c r="AM38" s="327"/>
      <c r="AN38" s="327"/>
      <c r="AO38" s="327"/>
      <c r="AP38" s="327"/>
      <c r="AQ38" s="327"/>
      <c r="AR38" s="327"/>
      <c r="AS38" s="327"/>
      <c r="AT38" s="327"/>
      <c r="AU38" s="327"/>
      <c r="AV38" s="327"/>
      <c r="AW38" s="327"/>
      <c r="AX38" s="327"/>
      <c r="AY38" s="327"/>
      <c r="AZ38" s="327"/>
      <c r="BA38" s="279" t="s">
        <v>441</v>
      </c>
      <c r="BD38" s="369"/>
      <c r="BE38" s="369"/>
      <c r="BF38" s="369"/>
      <c r="BG38" s="369"/>
      <c r="BH38" s="369"/>
      <c r="BI38" s="419">
        <v>0</v>
      </c>
    </row>
    <row customHeight="1" ht="14.699999999999998">
      <c r="Q39" s="292"/>
      <c r="R39" s="377"/>
      <c r="S39" s="1276"/>
      <c r="T39" s="364"/>
      <c r="U39" s="1245"/>
      <c r="V39" s="2253"/>
      <c r="W39" s="2253"/>
      <c r="X39" s="2253"/>
      <c r="Y39" s="2253"/>
      <c r="Z39" s="2253"/>
      <c r="AA39" s="2253"/>
      <c r="AB39" s="2253"/>
      <c r="AC39" s="2253"/>
      <c r="AD39" s="2253"/>
      <c r="AE39" s="2253"/>
      <c r="AF39" s="2253"/>
      <c r="AG39" s="2253"/>
      <c r="AH39" s="2253"/>
      <c r="AI39" s="2253"/>
      <c r="AJ39" s="2253"/>
      <c r="AK39" s="2253"/>
      <c r="AL39" s="2253"/>
      <c r="AM39" s="2253"/>
      <c r="AN39" s="2253"/>
      <c r="AO39" s="2253"/>
      <c r="AP39" s="2253"/>
      <c r="AQ39" s="2253"/>
      <c r="AR39" s="2253"/>
      <c r="AS39" s="2253"/>
      <c r="AT39" s="2253"/>
      <c r="AU39" s="2253"/>
      <c r="AV39" s="2253"/>
      <c r="AW39" s="2253"/>
      <c r="AX39" s="2253"/>
      <c r="AY39" s="2253"/>
      <c r="AZ39" s="2253"/>
      <c r="BA39" s="2253"/>
      <c r="BI39" s="1156">
        <v>14</v>
      </c>
    </row>
    <row customHeight="1" ht="14.699999999999998">
      <c r="Q40" s="292"/>
      <c r="R40" s="377"/>
      <c r="S40" s="2128" t="s">
        <v>317</v>
      </c>
      <c r="T40" s="2128"/>
      <c r="U40" s="2128"/>
      <c r="V40" s="2128"/>
      <c r="W40" s="2128"/>
      <c r="X40" s="2128"/>
      <c r="Y40" s="2128"/>
      <c r="Z40" s="2128"/>
      <c r="AA40" s="2128"/>
      <c r="AB40" s="2128"/>
      <c r="AC40" s="2128"/>
      <c r="AD40" s="2128"/>
      <c r="AE40" s="2128"/>
      <c r="AF40" s="2128"/>
      <c r="AG40" s="2128"/>
      <c r="AH40" s="2128"/>
      <c r="AI40" s="2128"/>
      <c r="AJ40" s="2128"/>
      <c r="AK40" s="2128"/>
      <c r="AL40" s="2128"/>
      <c r="AM40" s="2128"/>
      <c r="AN40" s="2128"/>
      <c r="AO40" s="2128"/>
      <c r="AP40" s="2128"/>
      <c r="AQ40" s="2128"/>
      <c r="AR40" s="2128"/>
      <c r="AS40" s="2128"/>
      <c r="AT40" s="2128"/>
      <c r="AU40" s="2128"/>
      <c r="AV40" s="2128"/>
      <c r="AW40" s="2128"/>
      <c r="AX40" s="2128"/>
      <c r="AY40" s="2128"/>
      <c r="AZ40" s="2128"/>
      <c r="BA40" s="2128"/>
      <c r="BB40" s="2128"/>
      <c r="BC40" s="2128" t="s">
        <v>318</v>
      </c>
      <c r="BI40" s="1156">
        <v>14</v>
      </c>
    </row>
    <row customHeight="1" ht="14.699999999999998">
      <c r="Q41" s="292"/>
      <c r="R41" s="377"/>
      <c r="S41" s="2274" t="s">
        <v>89</v>
      </c>
      <c r="T41" s="2210" t="s">
        <v>526</v>
      </c>
      <c r="U41" s="302"/>
      <c r="V41" s="2275" t="s">
        <v>443</v>
      </c>
      <c r="W41" s="2276"/>
      <c r="X41" s="2276"/>
      <c r="Y41" s="2276"/>
      <c r="Z41" s="2276"/>
      <c r="AA41" s="2276"/>
      <c r="AB41" s="2277"/>
      <c r="AC41" s="2278" t="s">
        <v>444</v>
      </c>
      <c r="AD41" s="2329" t="s">
        <v>527</v>
      </c>
      <c r="AE41" s="2292"/>
      <c r="AF41" s="2292"/>
      <c r="AG41" s="2330"/>
      <c r="AH41" s="2329" t="s">
        <v>528</v>
      </c>
      <c r="AI41" s="2292"/>
      <c r="AJ41" s="2292"/>
      <c r="AK41" s="2330"/>
      <c r="AL41" s="2329" t="s">
        <v>529</v>
      </c>
      <c r="AM41" s="2292"/>
      <c r="AN41" s="2292"/>
      <c r="AO41" s="2330"/>
      <c r="AP41" s="2329" t="s">
        <v>530</v>
      </c>
      <c r="AQ41" s="2292"/>
      <c r="AR41" s="2292"/>
      <c r="AS41" s="2330"/>
      <c r="AT41" s="2275" t="s">
        <v>443</v>
      </c>
      <c r="AU41" s="2276"/>
      <c r="AV41" s="2276"/>
      <c r="AW41" s="2276"/>
      <c r="AX41" s="2276"/>
      <c r="AY41" s="2276"/>
      <c r="AZ41" s="2277"/>
      <c r="BA41" s="2278" t="s">
        <v>444</v>
      </c>
      <c r="BB41" s="2281" t="s">
        <v>446</v>
      </c>
      <c r="BC41" s="2128"/>
      <c r="BI41" s="1156">
        <v>14</v>
      </c>
    </row>
    <row customHeight="1" ht="35.699999999999996">
      <c r="Q42" s="292"/>
      <c r="R42" s="377"/>
      <c r="S42" s="2274"/>
      <c r="T42" s="2210"/>
      <c r="U42" s="1032"/>
      <c r="V42" s="2193" t="s">
        <v>531</v>
      </c>
      <c r="W42" s="2194"/>
      <c r="X42" s="2193" t="s">
        <v>532</v>
      </c>
      <c r="Y42" s="2194"/>
      <c r="Z42" s="2295" t="s">
        <v>533</v>
      </c>
      <c r="AA42" s="2314"/>
      <c r="AB42" s="2315"/>
      <c r="AC42" s="2279"/>
      <c r="AD42" s="2331"/>
      <c r="AE42" s="2332"/>
      <c r="AF42" s="2332"/>
      <c r="AG42" s="2333"/>
      <c r="AH42" s="2331"/>
      <c r="AI42" s="2332"/>
      <c r="AJ42" s="2332"/>
      <c r="AK42" s="2333"/>
      <c r="AL42" s="2331"/>
      <c r="AM42" s="2332"/>
      <c r="AN42" s="2332"/>
      <c r="AO42" s="2333"/>
      <c r="AP42" s="2331"/>
      <c r="AQ42" s="2332"/>
      <c r="AR42" s="2332"/>
      <c r="AS42" s="2333"/>
      <c r="AT42" s="2193" t="s">
        <v>531</v>
      </c>
      <c r="AU42" s="2194"/>
      <c r="AV42" s="2193" t="s">
        <v>532</v>
      </c>
      <c r="AW42" s="2194"/>
      <c r="AX42" s="2295" t="s">
        <v>533</v>
      </c>
      <c r="AY42" s="2314"/>
      <c r="AZ42" s="2315"/>
      <c r="BA42" s="2279"/>
      <c r="BB42" s="2282"/>
      <c r="BC42" s="2128"/>
      <c r="BI42" s="1156">
        <v>34</v>
      </c>
    </row>
    <row customHeight="1" ht="14.699999999999998">
      <c r="Q43" s="292"/>
      <c r="R43" s="377"/>
      <c r="S43" s="2274"/>
      <c r="T43" s="2210"/>
      <c r="U43" s="1032"/>
      <c r="V43" s="2201"/>
      <c r="W43" s="2202"/>
      <c r="X43" s="2201"/>
      <c r="Y43" s="2202"/>
      <c r="Z43" s="2296"/>
      <c r="AA43" s="2316"/>
      <c r="AB43" s="2317"/>
      <c r="AC43" s="2279"/>
      <c r="AD43" s="2331"/>
      <c r="AE43" s="2332"/>
      <c r="AF43" s="2332"/>
      <c r="AG43" s="2333"/>
      <c r="AH43" s="2331"/>
      <c r="AI43" s="2332"/>
      <c r="AJ43" s="2332"/>
      <c r="AK43" s="2333"/>
      <c r="AL43" s="2331"/>
      <c r="AM43" s="2332"/>
      <c r="AN43" s="2332"/>
      <c r="AO43" s="2333"/>
      <c r="AP43" s="2331"/>
      <c r="AQ43" s="2332"/>
      <c r="AR43" s="2332"/>
      <c r="AS43" s="2333"/>
      <c r="AT43" s="2201"/>
      <c r="AU43" s="2202"/>
      <c r="AV43" s="2201"/>
      <c r="AW43" s="2202"/>
      <c r="AX43" s="2296"/>
      <c r="AY43" s="2316"/>
      <c r="AZ43" s="2317"/>
      <c r="BA43" s="2279"/>
      <c r="BB43" s="2282"/>
      <c r="BC43" s="2128"/>
      <c r="BI43" s="1156">
        <v>14</v>
      </c>
    </row>
    <row customHeight="1" ht="14.699999999999998">
      <c r="A44" s="1371"/>
      <c r="B44" s="1371" t="s">
        <v>143</v>
      </c>
      <c r="C44" s="1371" t="s">
        <v>144</v>
      </c>
      <c r="D44" s="1371" t="s">
        <v>145</v>
      </c>
      <c r="E44" s="1365" t="s">
        <v>451</v>
      </c>
      <c r="F44" s="1365" t="s">
        <v>452</v>
      </c>
      <c r="G44" s="1365" t="s">
        <v>453</v>
      </c>
      <c r="H44" s="1365" t="s">
        <v>454</v>
      </c>
      <c r="I44" s="1365" t="s">
        <v>455</v>
      </c>
      <c r="J44" s="1365" t="s">
        <v>456</v>
      </c>
      <c r="K44" s="1365" t="s">
        <v>457</v>
      </c>
      <c r="L44" s="1365" t="s">
        <v>432</v>
      </c>
      <c r="Q44" s="292"/>
      <c r="R44" s="377"/>
      <c r="S44" s="2274"/>
      <c r="T44" s="2210"/>
      <c r="U44" s="303"/>
      <c r="V44" s="1480" t="s">
        <v>497</v>
      </c>
      <c r="W44" s="1480" t="s">
        <v>498</v>
      </c>
      <c r="X44" s="1480" t="s">
        <v>497</v>
      </c>
      <c r="Y44" s="1480" t="s">
        <v>498</v>
      </c>
      <c r="Z44" s="1490" t="s">
        <v>460</v>
      </c>
      <c r="AA44" s="2271" t="s">
        <v>461</v>
      </c>
      <c r="AB44" s="2272"/>
      <c r="AC44" s="2280"/>
      <c r="AD44" s="2334"/>
      <c r="AE44" s="2335"/>
      <c r="AF44" s="2335"/>
      <c r="AG44" s="2336"/>
      <c r="AH44" s="2334"/>
      <c r="AI44" s="2335"/>
      <c r="AJ44" s="2335"/>
      <c r="AK44" s="2336"/>
      <c r="AL44" s="2334"/>
      <c r="AM44" s="2335"/>
      <c r="AN44" s="2335"/>
      <c r="AO44" s="2336"/>
      <c r="AP44" s="2334"/>
      <c r="AQ44" s="2335"/>
      <c r="AR44" s="2335"/>
      <c r="AS44" s="2336"/>
      <c r="AT44" s="1480" t="s">
        <v>497</v>
      </c>
      <c r="AU44" s="1480" t="s">
        <v>498</v>
      </c>
      <c r="AV44" s="1480" t="s">
        <v>497</v>
      </c>
      <c r="AW44" s="1480" t="s">
        <v>498</v>
      </c>
      <c r="AX44" s="1490" t="s">
        <v>460</v>
      </c>
      <c r="AY44" s="2271" t="s">
        <v>461</v>
      </c>
      <c r="AZ44" s="2272"/>
      <c r="BA44" s="2280"/>
      <c r="BB44" s="2283"/>
      <c r="BC44" s="2128"/>
      <c r="BI44" s="1156">
        <v>14</v>
      </c>
    </row>
    <row s="1642" customFormat="1" customHeight="1" ht="0">
      <c r="A45" s="1371"/>
      <c r="B45" s="1371"/>
      <c r="C45" s="1371"/>
      <c r="D45" s="1371"/>
      <c r="E45" s="1371"/>
      <c r="F45" s="1371"/>
      <c r="G45" s="1371"/>
      <c r="H45" s="1371"/>
      <c r="I45" s="1371"/>
      <c r="J45" s="1371"/>
      <c r="K45" s="1371"/>
      <c r="L45" s="1365"/>
      <c r="M45" s="1363"/>
      <c r="N45" s="1363"/>
      <c r="O45" s="1363"/>
      <c r="P45" s="511"/>
      <c r="Q45" s="1255"/>
      <c r="R45" s="1255">
        <v>1</v>
      </c>
      <c r="S45" s="1278" t="s">
        <v>118</v>
      </c>
      <c r="T45" s="1256" t="s">
        <v>103</v>
      </c>
      <c r="U45" s="1246" t="str">
        <f>OFFSET(U45,0,-1)</f>
        <v>2</v>
      </c>
      <c r="V45" s="1483">
        <f>OFFSET(V45,0,-1)+1</f>
        <v>3</v>
      </c>
      <c r="W45" s="1483">
        <f>OFFSET(W45,0,-1)+1</f>
        <v>4</v>
      </c>
      <c r="X45" s="1483">
        <f>OFFSET(X45,0,-1)+1</f>
        <v>5</v>
      </c>
      <c r="Y45" s="1483">
        <f>OFFSET(Y45,0,-1)+1</f>
        <v>6</v>
      </c>
      <c r="Z45" s="1483">
        <f>OFFSET(Z45,0,-1)+1</f>
        <v>7</v>
      </c>
      <c r="AA45" s="2273">
        <f>OFFSET(AA45,0,-1)+1</f>
        <v>8</v>
      </c>
      <c r="AB45" s="2273"/>
      <c r="AC45" s="1483">
        <f>OFFSET(AC45,0,-2)+1</f>
        <v>9</v>
      </c>
      <c r="AD45" s="1483">
        <f>OFFSET(AD45,0,-1)+1</f>
        <v>10</v>
      </c>
      <c r="AE45" s="1483"/>
      <c r="AF45" s="1483"/>
      <c r="AG45" s="1483"/>
      <c r="AH45" s="1483"/>
      <c r="AI45" s="1483"/>
      <c r="AJ45" s="1483"/>
      <c r="AK45" s="1483"/>
      <c r="AL45" s="1483"/>
      <c r="AM45" s="1483"/>
      <c r="AN45" s="1483"/>
      <c r="AO45" s="1483"/>
      <c r="AP45" s="1483"/>
      <c r="AQ45" s="1483"/>
      <c r="AR45" s="1483"/>
      <c r="AS45" s="1483"/>
      <c r="AT45" s="1483"/>
      <c r="AU45" s="1483"/>
      <c r="AV45" s="1483"/>
      <c r="AW45" s="1483">
        <f>OFFSET(AW45,0,-1)+1</f>
        <v>1</v>
      </c>
      <c r="AX45" s="1483">
        <f>OFFSET(AX45,0,-1)+1</f>
        <v>2</v>
      </c>
      <c r="AY45" s="2273">
        <f>OFFSET(AY45,0,-1)+1</f>
        <v>3</v>
      </c>
      <c r="AZ45" s="2273"/>
      <c r="BA45" s="1483">
        <f>OFFSET(BA45,0,-2)+1</f>
        <v>4</v>
      </c>
      <c r="BB45" s="1246">
        <f>OFFSET(BB45,0,-1)</f>
        <v>4</v>
      </c>
      <c r="BC45" s="1483">
        <f>OFFSET(BC45,0,-1)+1</f>
        <v>5</v>
      </c>
      <c r="BD45" s="512"/>
      <c r="BE45" s="512"/>
      <c r="BF45" s="512"/>
      <c r="BG45" s="512"/>
      <c r="BH45" s="512"/>
      <c r="BI45" s="497">
        <v>0</v>
      </c>
    </row>
    <row customHeight="1" ht="22.049999999999997">
      <c r="A46" s="1364" t="s">
        <v>278</v>
      </c>
      <c r="B46" s="1364"/>
      <c r="C46" s="1364"/>
      <c r="D46" s="1364"/>
      <c r="E46" s="2259">
        <v>1</v>
      </c>
      <c r="F46" s="1364"/>
      <c r="G46" s="1364"/>
      <c r="H46" s="1364"/>
      <c r="I46" s="1364"/>
      <c r="J46" s="1364"/>
      <c r="K46" s="1364"/>
      <c r="L46" s="1365"/>
      <c r="M46" s="1366"/>
      <c r="N46" s="1366"/>
      <c r="O46" s="1366"/>
      <c r="P46" s="1410"/>
      <c r="Q46" s="874"/>
      <c r="R46" s="356"/>
      <c r="S46" s="1494">
        <f>INDEX(PT_DIFFERENTIATION_NUM_NTAR,MATCH(A46,PT_DIFFERENTIATION_NTAR_ID,0))</f>
        <v>0</v>
      </c>
      <c r="T46" s="299" t="s">
        <v>131</v>
      </c>
      <c r="U46" s="301"/>
      <c r="V46" s="2244"/>
      <c r="W46" s="2244"/>
      <c r="X46" s="2244"/>
      <c r="Y46" s="2244"/>
      <c r="Z46" s="2244"/>
      <c r="AA46" s="2244"/>
      <c r="AB46" s="2244"/>
      <c r="AC46" s="2245"/>
      <c r="AD46" s="2243" t="str">
        <f>INDEX(PT_DIFFERENTIATION_NTAR,MATCH(A46,PT_DIFFERENTIATION_NTAR_ID,0))</f>
        <v/>
      </c>
      <c r="AE46" s="2244"/>
      <c r="AF46" s="2244"/>
      <c r="AG46" s="2244"/>
      <c r="AH46" s="2244"/>
      <c r="AI46" s="2244"/>
      <c r="AJ46" s="2244"/>
      <c r="AK46" s="2244"/>
      <c r="AL46" s="2244"/>
      <c r="AM46" s="2244"/>
      <c r="AN46" s="2244"/>
      <c r="AO46" s="2244"/>
      <c r="AP46" s="2244"/>
      <c r="AQ46" s="2244"/>
      <c r="AR46" s="2244"/>
      <c r="AS46" s="2244"/>
      <c r="AT46" s="2244"/>
      <c r="AU46" s="2244"/>
      <c r="AV46" s="2244"/>
      <c r="AW46" s="2244"/>
      <c r="AX46" s="2244"/>
      <c r="AY46" s="2244"/>
      <c r="AZ46" s="2244"/>
      <c r="BA46" s="2244"/>
      <c r="BB46" s="2245"/>
      <c r="BC46" s="1259"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BE46" s="501"/>
      <c r="BF46" s="501" t="str">
        <f>IF(T46="","",T46)</f>
        <v>Наименование тарифа</v>
      </c>
      <c r="BG46" s="501"/>
      <c r="BH46" s="501"/>
      <c r="BI46" s="1156">
        <v>21</v>
      </c>
    </row>
    <row customHeight="1" ht="22.049999999999997">
      <c r="A47" s="1364" t="s">
        <v>278</v>
      </c>
      <c r="B47" s="1364" t="s">
        <v>279</v>
      </c>
      <c r="C47" s="1364"/>
      <c r="D47" s="1364"/>
      <c r="E47" s="2260"/>
      <c r="F47" s="2259">
        <v>1</v>
      </c>
      <c r="G47" s="1364"/>
      <c r="H47" s="1364"/>
      <c r="I47" s="1364"/>
      <c r="J47" s="1364"/>
      <c r="K47" s="1364"/>
      <c r="L47" s="1365"/>
      <c r="M47" s="1366"/>
      <c r="N47" s="1366"/>
      <c r="O47" s="1366"/>
      <c r="P47" s="1411"/>
      <c r="Q47" s="1412"/>
      <c r="R47" s="354"/>
      <c r="S47" s="1494" t="str">
        <f>INDEX(PT_DIFFERENTIATION_NUM_TER,MATCH(B47,PT_DIFFERENTIATION_TER_ID,0))</f>
        <v>.</v>
      </c>
      <c r="T47" s="309" t="s">
        <v>414</v>
      </c>
      <c r="U47" s="301"/>
      <c r="V47" s="2244"/>
      <c r="W47" s="2244"/>
      <c r="X47" s="2244"/>
      <c r="Y47" s="2244"/>
      <c r="Z47" s="2244"/>
      <c r="AA47" s="2244"/>
      <c r="AB47" s="2244"/>
      <c r="AC47" s="2245"/>
      <c r="AD47" s="2243" t="str">
        <f>INDEX(PT_DIFFERENTIATION_TER,MATCH(B47,PT_DIFFERENTIATION_TER_ID,0))</f>
        <v/>
      </c>
      <c r="AE47" s="2244"/>
      <c r="AF47" s="2244"/>
      <c r="AG47" s="2244"/>
      <c r="AH47" s="2244"/>
      <c r="AI47" s="2244"/>
      <c r="AJ47" s="2244"/>
      <c r="AK47" s="2244"/>
      <c r="AL47" s="2244"/>
      <c r="AM47" s="2244"/>
      <c r="AN47" s="2244"/>
      <c r="AO47" s="2244"/>
      <c r="AP47" s="2244"/>
      <c r="AQ47" s="2244"/>
      <c r="AR47" s="2244"/>
      <c r="AS47" s="2244"/>
      <c r="AT47" s="2244"/>
      <c r="AU47" s="2244"/>
      <c r="AV47" s="2244"/>
      <c r="AW47" s="2244"/>
      <c r="AX47" s="2244"/>
      <c r="AY47" s="2244"/>
      <c r="AZ47" s="2244"/>
      <c r="BA47" s="2244"/>
      <c r="BB47" s="2245"/>
      <c r="BC47" s="1259" t="s">
        <v>415</v>
      </c>
      <c r="BE47" s="501"/>
      <c r="BF47" s="501" t="str">
        <f>IF(T47="","",T47)</f>
        <v>Территория действия тарифа</v>
      </c>
      <c r="BG47" s="501"/>
      <c r="BH47" s="501"/>
      <c r="BI47" s="1156">
        <v>21</v>
      </c>
    </row>
    <row customHeight="1" ht="35.699999999999996">
      <c r="A48" s="1364" t="s">
        <v>278</v>
      </c>
      <c r="B48" s="1364" t="s">
        <v>279</v>
      </c>
      <c r="C48" s="1364" t="s">
        <v>280</v>
      </c>
      <c r="D48" s="1364"/>
      <c r="E48" s="2260"/>
      <c r="F48" s="2260"/>
      <c r="G48" s="2259">
        <v>1</v>
      </c>
      <c r="H48" s="1364"/>
      <c r="I48" s="1364"/>
      <c r="J48" s="1364"/>
      <c r="K48" s="1364"/>
      <c r="L48" s="1365"/>
      <c r="M48" s="1366"/>
      <c r="N48" s="1366"/>
      <c r="O48" s="1366"/>
      <c r="P48" s="1413"/>
      <c r="Q48" s="1412"/>
      <c r="R48" s="354"/>
      <c r="S48" s="1494" t="str">
        <f>INDEX(PT_DIFFERENTIATION_NUM_CS,MATCH(C48,PT_DIFFERENTIATION_CS_ID,0))</f>
        <v>..</v>
      </c>
      <c r="T48" s="310" t="s">
        <v>549</v>
      </c>
      <c r="U48" s="301"/>
      <c r="V48" s="2244"/>
      <c r="W48" s="2244"/>
      <c r="X48" s="2244"/>
      <c r="Y48" s="2244"/>
      <c r="Z48" s="2244"/>
      <c r="AA48" s="2244"/>
      <c r="AB48" s="2244"/>
      <c r="AC48" s="2245"/>
      <c r="AD48" s="2243" t="str">
        <f>INDEX(PT_DIFFERENTIATION_CS,MATCH(C48,PT_DIFFERENTIATION_CS_ID,0))</f>
        <v/>
      </c>
      <c r="AE48" s="2244"/>
      <c r="AF48" s="2244"/>
      <c r="AG48" s="2244"/>
      <c r="AH48" s="2244"/>
      <c r="AI48" s="2244"/>
      <c r="AJ48" s="2244"/>
      <c r="AK48" s="2244"/>
      <c r="AL48" s="2244"/>
      <c r="AM48" s="2244"/>
      <c r="AN48" s="2244"/>
      <c r="AO48" s="2244"/>
      <c r="AP48" s="2244"/>
      <c r="AQ48" s="2244"/>
      <c r="AR48" s="2244"/>
      <c r="AS48" s="2244"/>
      <c r="AT48" s="2244"/>
      <c r="AU48" s="2244"/>
      <c r="AV48" s="2244"/>
      <c r="AW48" s="2244"/>
      <c r="AX48" s="2244"/>
      <c r="AY48" s="2244"/>
      <c r="AZ48" s="2244"/>
      <c r="BA48" s="2244"/>
      <c r="BB48" s="2245"/>
      <c r="BC48" s="1259" t="s">
        <v>550</v>
      </c>
      <c r="BE48" s="501"/>
      <c r="BF48" s="501" t="str">
        <f>IF(T48="","",T48)</f>
        <v>Наименование централизованной системы горячего водоснабжения</v>
      </c>
      <c r="BG48" s="501"/>
      <c r="BH48" s="501"/>
      <c r="BI48" s="1156">
        <v>34</v>
      </c>
    </row>
    <row s="1643" customFormat="1" customHeight="1" ht="0">
      <c r="A49" s="1344" t="s">
        <v>278</v>
      </c>
      <c r="B49" s="1344" t="s">
        <v>279</v>
      </c>
      <c r="C49" s="1344" t="s">
        <v>280</v>
      </c>
      <c r="D49" s="1344" t="s">
        <v>563</v>
      </c>
      <c r="E49" s="2260"/>
      <c r="F49" s="2260"/>
      <c r="G49" s="2260"/>
      <c r="H49" s="2259">
        <v>1</v>
      </c>
      <c r="I49" s="1344"/>
      <c r="J49" s="1344"/>
      <c r="K49" s="1344"/>
      <c r="L49" s="1347"/>
      <c r="M49" s="1316"/>
      <c r="N49" s="1316"/>
      <c r="O49" s="1316"/>
      <c r="P49" s="1498"/>
      <c r="Q49" s="1499"/>
      <c r="R49" s="358"/>
      <c r="S49" s="1043"/>
      <c r="T49" s="1500"/>
      <c r="U49" s="1385"/>
      <c r="V49" s="2298"/>
      <c r="W49" s="2298"/>
      <c r="X49" s="2298"/>
      <c r="Y49" s="2298"/>
      <c r="Z49" s="2298"/>
      <c r="AA49" s="2298"/>
      <c r="AB49" s="2298"/>
      <c r="AC49" s="2299"/>
      <c r="AD49" s="2297"/>
      <c r="AE49" s="2298"/>
      <c r="AF49" s="2298"/>
      <c r="AG49" s="2298"/>
      <c r="AH49" s="2298"/>
      <c r="AI49" s="2298"/>
      <c r="AJ49" s="2298"/>
      <c r="AK49" s="2298"/>
      <c r="AL49" s="2298"/>
      <c r="AM49" s="2298"/>
      <c r="AN49" s="2298"/>
      <c r="AO49" s="2298"/>
      <c r="AP49" s="2298"/>
      <c r="AQ49" s="2298"/>
      <c r="AR49" s="2298"/>
      <c r="AS49" s="2298"/>
      <c r="AT49" s="2298"/>
      <c r="AU49" s="2298"/>
      <c r="AV49" s="2298"/>
      <c r="AW49" s="2298"/>
      <c r="AX49" s="2298"/>
      <c r="AY49" s="2298"/>
      <c r="AZ49" s="2298"/>
      <c r="BA49" s="2298"/>
      <c r="BB49" s="2299"/>
      <c r="BC49" s="1386" t="s">
        <v>419</v>
      </c>
      <c r="BE49" s="501"/>
      <c r="BF49" s="501" t="str">
        <f>IF(T49="","",T49)</f>
        <v/>
      </c>
      <c r="BG49" s="501"/>
      <c r="BH49" s="501"/>
      <c r="BI49" s="512">
        <v>0</v>
      </c>
    </row>
    <row s="1643" customFormat="1" customHeight="1" ht="0">
      <c r="A50" s="1344" t="s">
        <v>278</v>
      </c>
      <c r="B50" s="1344" t="s">
        <v>279</v>
      </c>
      <c r="C50" s="1344" t="s">
        <v>280</v>
      </c>
      <c r="D50" s="1344" t="s">
        <v>563</v>
      </c>
      <c r="E50" s="2260"/>
      <c r="F50" s="2260"/>
      <c r="G50" s="2260"/>
      <c r="H50" s="2260"/>
      <c r="I50" s="2257" t="str">
        <f>S49&amp;".1"</f>
        <v>.1</v>
      </c>
      <c r="J50" s="1344"/>
      <c r="K50" s="1344"/>
      <c r="L50" s="1347" t="s">
        <v>420</v>
      </c>
      <c r="M50" s="511"/>
      <c r="N50" s="511"/>
      <c r="O50" s="511"/>
      <c r="P50" s="2258">
        <v>1</v>
      </c>
      <c r="Q50" s="1482"/>
      <c r="R50" s="357"/>
      <c r="S50" s="1043"/>
      <c r="T50" s="1384"/>
      <c r="U50" s="1385"/>
      <c r="V50" s="2298"/>
      <c r="W50" s="2298"/>
      <c r="X50" s="2298"/>
      <c r="Y50" s="2298"/>
      <c r="Z50" s="2298"/>
      <c r="AA50" s="2298"/>
      <c r="AB50" s="2298"/>
      <c r="AC50" s="2299"/>
      <c r="AD50" s="2297"/>
      <c r="AE50" s="2298"/>
      <c r="AF50" s="2298"/>
      <c r="AG50" s="2298"/>
      <c r="AH50" s="2298"/>
      <c r="AI50" s="2298"/>
      <c r="AJ50" s="2298"/>
      <c r="AK50" s="2298"/>
      <c r="AL50" s="2298"/>
      <c r="AM50" s="2298"/>
      <c r="AN50" s="2298"/>
      <c r="AO50" s="2298"/>
      <c r="AP50" s="2298"/>
      <c r="AQ50" s="2298"/>
      <c r="AR50" s="2298"/>
      <c r="AS50" s="2298"/>
      <c r="AT50" s="2298"/>
      <c r="AU50" s="2298"/>
      <c r="AV50" s="2298"/>
      <c r="AW50" s="2298"/>
      <c r="AX50" s="2298"/>
      <c r="AY50" s="2298"/>
      <c r="AZ50" s="2298"/>
      <c r="BA50" s="2298"/>
      <c r="BB50" s="2299"/>
      <c r="BC50" s="1386"/>
      <c r="BE50" s="501"/>
      <c r="BF50" s="501" t="str">
        <f>IF(T50="","",T50)</f>
        <v/>
      </c>
      <c r="BG50" s="501"/>
      <c r="BH50" s="501"/>
      <c r="BI50" s="512">
        <v>0</v>
      </c>
    </row>
    <row s="1643" customFormat="1" customHeight="1" ht="0">
      <c r="A51" s="1344" t="s">
        <v>278</v>
      </c>
      <c r="B51" s="1344" t="s">
        <v>279</v>
      </c>
      <c r="C51" s="1344" t="s">
        <v>280</v>
      </c>
      <c r="D51" s="1344" t="s">
        <v>563</v>
      </c>
      <c r="E51" s="2260"/>
      <c r="F51" s="2260"/>
      <c r="G51" s="2260"/>
      <c r="H51" s="2260"/>
      <c r="I51" s="2287"/>
      <c r="J51" s="2257" t="str">
        <f>S49&amp;".1"</f>
        <v>.1</v>
      </c>
      <c r="K51" s="1344"/>
      <c r="L51" s="1347"/>
      <c r="M51" s="511"/>
      <c r="N51" s="511"/>
      <c r="O51" s="511"/>
      <c r="P51" s="2258"/>
      <c r="Q51" s="2258">
        <v>1</v>
      </c>
      <c r="R51" s="358"/>
      <c r="S51" s="1043"/>
      <c r="T51" s="1400"/>
      <c r="U51" s="1385"/>
      <c r="V51" s="2298"/>
      <c r="W51" s="2298"/>
      <c r="X51" s="2298"/>
      <c r="Y51" s="2298"/>
      <c r="Z51" s="2298"/>
      <c r="AA51" s="2298"/>
      <c r="AB51" s="2298"/>
      <c r="AC51" s="2299"/>
      <c r="AD51" s="2297"/>
      <c r="AE51" s="2298"/>
      <c r="AF51" s="2298"/>
      <c r="AG51" s="2298"/>
      <c r="AH51" s="2298"/>
      <c r="AI51" s="2298"/>
      <c r="AJ51" s="2298"/>
      <c r="AK51" s="2298"/>
      <c r="AL51" s="2298"/>
      <c r="AM51" s="2298"/>
      <c r="AN51" s="2365"/>
      <c r="AO51" s="2365"/>
      <c r="AP51" s="2298"/>
      <c r="AQ51" s="2298"/>
      <c r="AR51" s="2298"/>
      <c r="AS51" s="2298"/>
      <c r="AT51" s="2298"/>
      <c r="AU51" s="2298"/>
      <c r="AV51" s="2298"/>
      <c r="AW51" s="2298"/>
      <c r="AX51" s="2298"/>
      <c r="AY51" s="2298"/>
      <c r="AZ51" s="2298"/>
      <c r="BA51" s="2298"/>
      <c r="BB51" s="2299"/>
      <c r="BC51" s="1386"/>
      <c r="BE51" s="501"/>
      <c r="BF51" s="501" t="str">
        <f>IF(T51="","",T51)</f>
        <v/>
      </c>
      <c r="BG51" s="501"/>
      <c r="BH51" s="501"/>
      <c r="BI51" s="512">
        <v>0</v>
      </c>
    </row>
    <row customHeight="1" ht="11.549999999999999">
      <c r="A52" s="1364" t="s">
        <v>278</v>
      </c>
      <c r="B52" s="1364" t="s">
        <v>279</v>
      </c>
      <c r="C52" s="1364" t="s">
        <v>280</v>
      </c>
      <c r="D52" s="1364" t="s">
        <v>563</v>
      </c>
      <c r="E52" s="2260"/>
      <c r="F52" s="2260"/>
      <c r="G52" s="2260"/>
      <c r="H52" s="2260"/>
      <c r="I52" s="2287"/>
      <c r="J52" s="2287"/>
      <c r="K52" s="2257" t="str">
        <f>S48&amp;".1"</f>
        <v>...1</v>
      </c>
      <c r="L52" s="1365"/>
      <c r="P52" s="2258"/>
      <c r="Q52" s="2258"/>
      <c r="R52" s="358">
        <v>1</v>
      </c>
      <c r="S52" s="2342" t="str">
        <f>$K52</f>
        <v>...1</v>
      </c>
      <c r="T52" s="2361"/>
      <c r="U52" s="301"/>
      <c r="V52" s="752"/>
      <c r="W52" s="1258"/>
      <c r="X52" s="752"/>
      <c r="Y52" s="1258"/>
      <c r="Z52" s="1735"/>
      <c r="AA52" s="1470" t="s">
        <v>61</v>
      </c>
      <c r="AB52" s="1735"/>
      <c r="AC52" s="1470" t="s">
        <v>61</v>
      </c>
      <c r="AD52" s="2186" t="s">
        <v>61</v>
      </c>
      <c r="AE52" s="2327"/>
      <c r="AF52" s="2206">
        <v>1</v>
      </c>
      <c r="AG52" s="2364"/>
      <c r="AH52" s="2108" t="s">
        <v>61</v>
      </c>
      <c r="AI52" s="2327"/>
      <c r="AJ52" s="2206">
        <v>1</v>
      </c>
      <c r="AK52" s="2328" t="s">
        <v>28</v>
      </c>
      <c r="AL52" s="2108" t="s">
        <v>61</v>
      </c>
      <c r="AM52" s="2193"/>
      <c r="AN52" s="2206">
        <v>1</v>
      </c>
      <c r="AO52" s="2358"/>
      <c r="AP52" s="2359" t="s">
        <v>61</v>
      </c>
      <c r="AQ52" s="312"/>
      <c r="AR52" s="1487">
        <v>1</v>
      </c>
      <c r="AS52" s="1493" t="s">
        <v>28</v>
      </c>
      <c r="AT52" s="752"/>
      <c r="AU52" s="1258"/>
      <c r="AV52" s="752"/>
      <c r="AW52" s="1258"/>
      <c r="AX52" s="1735"/>
      <c r="AY52" s="1470" t="s">
        <v>61</v>
      </c>
      <c r="AZ52" s="1735"/>
      <c r="BA52" s="1470" t="s">
        <v>61</v>
      </c>
      <c r="BB52" s="1349"/>
      <c r="BC52" s="2254" t="s">
        <v>520</v>
      </c>
      <c r="BE52" s="501"/>
      <c r="BF52" s="501" t="str">
        <f>IF(T52="","",T52)</f>
        <v/>
      </c>
      <c r="BG52" s="501"/>
      <c r="BH52" s="501"/>
      <c r="BI52" s="1156">
        <v>11</v>
      </c>
    </row>
    <row customHeight="1" ht="11.549999999999999">
      <c r="A53" s="1364"/>
      <c r="B53" s="1364"/>
      <c r="C53" s="1364"/>
      <c r="D53" s="1364"/>
      <c r="E53" s="2260"/>
      <c r="F53" s="2260"/>
      <c r="G53" s="2260"/>
      <c r="H53" s="2260"/>
      <c r="I53" s="2287"/>
      <c r="J53" s="2287"/>
      <c r="K53" s="2257"/>
      <c r="L53" s="1365"/>
      <c r="P53" s="2258"/>
      <c r="Q53" s="2258"/>
      <c r="R53" s="358"/>
      <c r="S53" s="2343"/>
      <c r="T53" s="2362"/>
      <c r="U53" s="301"/>
      <c r="V53" s="1394"/>
      <c r="W53" s="1497"/>
      <c r="X53" s="1394"/>
      <c r="Y53" s="1497"/>
      <c r="Z53" s="1394"/>
      <c r="AA53" s="1394"/>
      <c r="AB53" s="1394"/>
      <c r="AC53" s="1394"/>
      <c r="AD53" s="2187"/>
      <c r="AE53" s="2327"/>
      <c r="AF53" s="2206"/>
      <c r="AG53" s="2364"/>
      <c r="AH53" s="2108"/>
      <c r="AI53" s="2327"/>
      <c r="AJ53" s="2206"/>
      <c r="AK53" s="2328"/>
      <c r="AL53" s="2108"/>
      <c r="AM53" s="2201"/>
      <c r="AN53" s="2206"/>
      <c r="AO53" s="2358"/>
      <c r="AP53" s="2360"/>
      <c r="AQ53" s="317"/>
      <c r="AR53" s="417"/>
      <c r="AS53" s="417" t="s">
        <v>521</v>
      </c>
      <c r="AT53" s="1394"/>
      <c r="AU53" s="1497"/>
      <c r="AV53" s="1394"/>
      <c r="AW53" s="1497"/>
      <c r="AX53" s="1394"/>
      <c r="AY53" s="1394"/>
      <c r="AZ53" s="1394"/>
      <c r="BA53" s="1394"/>
      <c r="BB53" s="1398"/>
      <c r="BC53" s="2255"/>
      <c r="BE53" s="501"/>
      <c r="BF53" s="501"/>
      <c r="BG53" s="501"/>
      <c r="BH53" s="501"/>
      <c r="BI53" s="1156">
        <v>11</v>
      </c>
    </row>
    <row customHeight="1" ht="11.549999999999999">
      <c r="A54" s="1364" t="s">
        <v>278</v>
      </c>
      <c r="B54" s="1364"/>
      <c r="C54" s="1364"/>
      <c r="D54" s="1364"/>
      <c r="E54" s="2260"/>
      <c r="F54" s="2260"/>
      <c r="G54" s="2260"/>
      <c r="H54" s="2260"/>
      <c r="I54" s="2287"/>
      <c r="J54" s="2287"/>
      <c r="K54" s="2257"/>
      <c r="L54" s="1365"/>
      <c r="P54" s="2258"/>
      <c r="Q54" s="2258"/>
      <c r="R54" s="358"/>
      <c r="S54" s="2343"/>
      <c r="T54" s="2362"/>
      <c r="U54" s="301"/>
      <c r="V54" s="1394"/>
      <c r="W54" s="1497"/>
      <c r="X54" s="1394"/>
      <c r="Y54" s="1497"/>
      <c r="Z54" s="1394"/>
      <c r="AA54" s="1394"/>
      <c r="AB54" s="1394"/>
      <c r="AC54" s="1394"/>
      <c r="AD54" s="2187"/>
      <c r="AE54" s="2327"/>
      <c r="AF54" s="2206"/>
      <c r="AG54" s="2364"/>
      <c r="AH54" s="2108"/>
      <c r="AI54" s="2327"/>
      <c r="AJ54" s="2206"/>
      <c r="AK54" s="2328"/>
      <c r="AL54" s="2108"/>
      <c r="AM54" s="317"/>
      <c r="AN54" s="1501"/>
      <c r="AO54" s="1501" t="s">
        <v>522</v>
      </c>
      <c r="AP54" s="417"/>
      <c r="AQ54" s="417"/>
      <c r="AR54" s="417"/>
      <c r="AS54" s="1394"/>
      <c r="AT54" s="1394"/>
      <c r="AU54" s="1497"/>
      <c r="AV54" s="1394"/>
      <c r="AW54" s="1497"/>
      <c r="AX54" s="1394"/>
      <c r="AY54" s="1394"/>
      <c r="AZ54" s="1394"/>
      <c r="BA54" s="1394"/>
      <c r="BB54" s="1398"/>
      <c r="BC54" s="2255"/>
      <c r="BE54" s="501"/>
      <c r="BF54" s="501"/>
      <c r="BG54" s="501"/>
      <c r="BH54" s="501"/>
      <c r="BI54" s="1156">
        <v>11</v>
      </c>
    </row>
    <row customHeight="1" ht="11.549999999999999">
      <c r="A55" s="1364" t="s">
        <v>278</v>
      </c>
      <c r="B55" s="1364"/>
      <c r="C55" s="1364"/>
      <c r="D55" s="1364"/>
      <c r="E55" s="2260"/>
      <c r="F55" s="2260"/>
      <c r="G55" s="2260"/>
      <c r="H55" s="2260"/>
      <c r="I55" s="2287"/>
      <c r="J55" s="2287"/>
      <c r="K55" s="2257"/>
      <c r="L55" s="1365"/>
      <c r="P55" s="2258"/>
      <c r="Q55" s="2258"/>
      <c r="R55" s="358"/>
      <c r="S55" s="2343"/>
      <c r="T55" s="2362"/>
      <c r="U55" s="301"/>
      <c r="V55" s="1394"/>
      <c r="W55" s="1497"/>
      <c r="X55" s="1394"/>
      <c r="Y55" s="1497"/>
      <c r="Z55" s="1394"/>
      <c r="AA55" s="1394"/>
      <c r="AB55" s="1394"/>
      <c r="AC55" s="1394"/>
      <c r="AD55" s="2187"/>
      <c r="AE55" s="2327"/>
      <c r="AF55" s="2206"/>
      <c r="AG55" s="2364"/>
      <c r="AH55" s="2108"/>
      <c r="AI55" s="295"/>
      <c r="AJ55" s="416"/>
      <c r="AK55" s="314" t="s">
        <v>523</v>
      </c>
      <c r="AL55" s="1394"/>
      <c r="AM55" s="1394"/>
      <c r="AN55" s="1394"/>
      <c r="AO55" s="1394"/>
      <c r="AP55" s="1394"/>
      <c r="AQ55" s="1394"/>
      <c r="AR55" s="1394"/>
      <c r="AS55" s="1394"/>
      <c r="AT55" s="1394"/>
      <c r="AU55" s="1497"/>
      <c r="AV55" s="1394"/>
      <c r="AW55" s="1497"/>
      <c r="AX55" s="1394"/>
      <c r="AY55" s="1394"/>
      <c r="AZ55" s="1394"/>
      <c r="BA55" s="1394"/>
      <c r="BB55" s="1398"/>
      <c r="BC55" s="2255"/>
      <c r="BE55" s="501"/>
      <c r="BF55" s="501"/>
      <c r="BG55" s="501"/>
      <c r="BH55" s="501"/>
      <c r="BI55" s="1156">
        <v>11</v>
      </c>
    </row>
    <row customHeight="1" ht="11.549999999999999">
      <c r="A56" s="1364" t="s">
        <v>278</v>
      </c>
      <c r="B56" s="1364" t="s">
        <v>279</v>
      </c>
      <c r="C56" s="1364" t="s">
        <v>280</v>
      </c>
      <c r="D56" s="1364" t="s">
        <v>563</v>
      </c>
      <c r="E56" s="2260"/>
      <c r="F56" s="2260"/>
      <c r="G56" s="2260"/>
      <c r="H56" s="2260"/>
      <c r="I56" s="2287"/>
      <c r="J56" s="2287"/>
      <c r="K56" s="2257"/>
      <c r="L56" s="1365"/>
      <c r="P56" s="2258"/>
      <c r="Q56" s="2258"/>
      <c r="R56" s="358"/>
      <c r="S56" s="2344"/>
      <c r="T56" s="2363"/>
      <c r="U56" s="301"/>
      <c r="V56" s="1394"/>
      <c r="W56" s="1395" t="str">
        <f>Z52&amp;"-"&amp;AB52</f>
        <v>-</v>
      </c>
      <c r="X56" s="1394"/>
      <c r="Y56" s="1395" t="str">
        <f>AB52&amp;"-"&amp;AD52</f>
        <v>-да</v>
      </c>
      <c r="Z56" s="1394"/>
      <c r="AA56" s="1394"/>
      <c r="AB56" s="1394"/>
      <c r="AC56" s="1394"/>
      <c r="AD56" s="2113"/>
      <c r="AE56" s="313"/>
      <c r="AF56" s="315"/>
      <c r="AG56" s="417" t="s">
        <v>524</v>
      </c>
      <c r="AH56" s="1394"/>
      <c r="AI56" s="1394"/>
      <c r="AJ56" s="1394"/>
      <c r="AK56" s="1394"/>
      <c r="AL56" s="1394"/>
      <c r="AM56" s="1394"/>
      <c r="AN56" s="1394"/>
      <c r="AO56" s="1394"/>
      <c r="AP56" s="1394"/>
      <c r="AQ56" s="1394"/>
      <c r="AR56" s="1394"/>
      <c r="AS56" s="1394"/>
      <c r="AT56" s="1394"/>
      <c r="AU56" s="1395" t="str">
        <f>AX52&amp;"-"&amp;AZ52</f>
        <v>-</v>
      </c>
      <c r="AV56" s="1394"/>
      <c r="AW56" s="1395" t="str">
        <f>AZ52&amp;"-"&amp;BB52</f>
        <v>-</v>
      </c>
      <c r="AX56" s="1394"/>
      <c r="AY56" s="1394"/>
      <c r="AZ56" s="1394"/>
      <c r="BA56" s="1394"/>
      <c r="BB56" s="1397" t="str">
        <f>BE52&amp;"-"&amp;BG52</f>
        <v>-</v>
      </c>
      <c r="BC56" s="2255"/>
      <c r="BE56" s="501"/>
      <c r="BF56" s="501" t="str">
        <f>IF(T56="","",T56)</f>
        <v/>
      </c>
      <c r="BG56" s="501"/>
      <c r="BH56" s="501"/>
      <c r="BI56" s="1156">
        <v>11</v>
      </c>
    </row>
    <row customHeight="1" ht="11.549999999999999">
      <c r="A57" s="1364" t="s">
        <v>278</v>
      </c>
      <c r="B57" s="1364" t="s">
        <v>279</v>
      </c>
      <c r="C57" s="1364" t="s">
        <v>280</v>
      </c>
      <c r="D57" s="1364" t="s">
        <v>563</v>
      </c>
      <c r="E57" s="2260"/>
      <c r="F57" s="2260"/>
      <c r="G57" s="2260"/>
      <c r="H57" s="2260"/>
      <c r="I57" s="2287"/>
      <c r="J57" s="2257"/>
      <c r="K57" s="1364"/>
      <c r="L57" s="1365"/>
      <c r="P57" s="2258"/>
      <c r="Q57" s="2258"/>
      <c r="R57" s="357"/>
      <c r="S57" s="1279"/>
      <c r="T57" s="288" t="s">
        <v>487</v>
      </c>
      <c r="U57" s="368"/>
      <c r="V57" s="368"/>
      <c r="W57" s="368"/>
      <c r="X57" s="368"/>
      <c r="Y57" s="368"/>
      <c r="Z57" s="368"/>
      <c r="AA57" s="368"/>
      <c r="AB57" s="368"/>
      <c r="AC57" s="325"/>
      <c r="AD57" s="1506"/>
      <c r="AE57" s="368"/>
      <c r="AF57" s="368"/>
      <c r="AG57" s="368"/>
      <c r="AH57" s="368"/>
      <c r="AI57" s="368"/>
      <c r="AJ57" s="368"/>
      <c r="AK57" s="368"/>
      <c r="AL57" s="368"/>
      <c r="AM57" s="368"/>
      <c r="AN57" s="368"/>
      <c r="AO57" s="368"/>
      <c r="AP57" s="368"/>
      <c r="AQ57" s="368"/>
      <c r="AR57" s="368"/>
      <c r="AS57" s="368"/>
      <c r="AT57" s="368"/>
      <c r="AU57" s="368"/>
      <c r="AV57" s="368"/>
      <c r="AW57" s="368"/>
      <c r="AX57" s="368"/>
      <c r="AY57" s="368"/>
      <c r="AZ57" s="368"/>
      <c r="BA57" s="368"/>
      <c r="BB57" s="325"/>
      <c r="BC57" s="2256"/>
      <c r="BE57" s="501"/>
      <c r="BF57" s="501" t="str">
        <f>IF(T57="","",T57)</f>
        <v>Добавить строку</v>
      </c>
      <c r="BG57" s="501"/>
      <c r="BH57" s="501"/>
      <c r="BI57" s="1156">
        <v>11</v>
      </c>
    </row>
    <row s="1643" customFormat="1" customHeight="1" ht="0">
      <c r="A58" s="1344" t="s">
        <v>278</v>
      </c>
      <c r="B58" s="1344" t="s">
        <v>279</v>
      </c>
      <c r="C58" s="1344" t="s">
        <v>280</v>
      </c>
      <c r="D58" s="1344" t="s">
        <v>563</v>
      </c>
      <c r="E58" s="2260"/>
      <c r="F58" s="2260"/>
      <c r="G58" s="2260"/>
      <c r="H58" s="2260"/>
      <c r="I58" s="2257"/>
      <c r="J58" s="1344"/>
      <c r="K58" s="1344"/>
      <c r="L58" s="1347"/>
      <c r="M58" s="511"/>
      <c r="N58" s="511"/>
      <c r="O58" s="511"/>
      <c r="P58" s="2258"/>
      <c r="Q58" s="1482"/>
      <c r="R58" s="357"/>
      <c r="S58" s="1387"/>
      <c r="T58" s="1388"/>
      <c r="U58" s="1389"/>
      <c r="V58" s="1389"/>
      <c r="W58" s="1389"/>
      <c r="X58" s="1389"/>
      <c r="Y58" s="1389"/>
      <c r="Z58" s="1389"/>
      <c r="AA58" s="1389"/>
      <c r="AB58" s="1389"/>
      <c r="AC58" s="1389"/>
      <c r="AD58" s="1389"/>
      <c r="AE58" s="1389"/>
      <c r="AF58" s="1389"/>
      <c r="AG58" s="1389"/>
      <c r="AH58" s="1389"/>
      <c r="AI58" s="1389"/>
      <c r="AJ58" s="1389"/>
      <c r="AK58" s="1389"/>
      <c r="AL58" s="1389"/>
      <c r="AM58" s="1389"/>
      <c r="AN58" s="1389"/>
      <c r="AO58" s="1389"/>
      <c r="AP58" s="1389"/>
      <c r="AQ58" s="1389"/>
      <c r="AR58" s="1389"/>
      <c r="AS58" s="1389"/>
      <c r="AT58" s="1389"/>
      <c r="AU58" s="1389"/>
      <c r="AV58" s="1389"/>
      <c r="AW58" s="1389"/>
      <c r="AX58" s="1389"/>
      <c r="AY58" s="1389"/>
      <c r="AZ58" s="1389"/>
      <c r="BA58" s="1389"/>
      <c r="BB58" s="1389"/>
      <c r="BC58" s="1390"/>
      <c r="BE58" s="501"/>
      <c r="BF58" s="501" t="str">
        <f>IF(T58="","",T58)</f>
        <v/>
      </c>
      <c r="BG58" s="501"/>
      <c r="BH58" s="501"/>
      <c r="BI58" s="512">
        <v>0</v>
      </c>
    </row>
    <row s="1643" customFormat="1" customHeight="1" ht="0">
      <c r="A59" s="1344" t="s">
        <v>278</v>
      </c>
      <c r="B59" s="1344" t="s">
        <v>279</v>
      </c>
      <c r="C59" s="1344" t="s">
        <v>280</v>
      </c>
      <c r="D59" s="1344" t="s">
        <v>563</v>
      </c>
      <c r="E59" s="2260"/>
      <c r="F59" s="2260"/>
      <c r="G59" s="2260"/>
      <c r="H59" s="2259"/>
      <c r="I59" s="1344"/>
      <c r="J59" s="1344"/>
      <c r="K59" s="1344"/>
      <c r="L59" s="1347"/>
      <c r="M59" s="1316"/>
      <c r="N59" s="1316"/>
      <c r="O59" s="519"/>
      <c r="P59" s="381"/>
      <c r="Q59" s="1345"/>
      <c r="R59" s="1402"/>
      <c r="S59" s="1387"/>
      <c r="T59" s="1388"/>
      <c r="U59" s="1389"/>
      <c r="V59" s="1389"/>
      <c r="W59" s="1389"/>
      <c r="X59" s="1389"/>
      <c r="Y59" s="1389"/>
      <c r="Z59" s="1389"/>
      <c r="AA59" s="1389"/>
      <c r="AB59" s="1389"/>
      <c r="AC59" s="1389"/>
      <c r="AD59" s="1389"/>
      <c r="AE59" s="1389"/>
      <c r="AF59" s="1389"/>
      <c r="AG59" s="1389"/>
      <c r="AH59" s="1389"/>
      <c r="AI59" s="1389"/>
      <c r="AJ59" s="1389"/>
      <c r="AK59" s="1389"/>
      <c r="AL59" s="1389"/>
      <c r="AM59" s="1389"/>
      <c r="AN59" s="1389"/>
      <c r="AO59" s="1389"/>
      <c r="AP59" s="1389"/>
      <c r="AQ59" s="1389"/>
      <c r="AR59" s="1389"/>
      <c r="AS59" s="1389"/>
      <c r="AT59" s="1389"/>
      <c r="AU59" s="1389"/>
      <c r="AV59" s="1389"/>
      <c r="AW59" s="1389"/>
      <c r="AX59" s="1389"/>
      <c r="AY59" s="1389"/>
      <c r="AZ59" s="1389"/>
      <c r="BA59" s="1389"/>
      <c r="BB59" s="1389"/>
      <c r="BC59" s="1390"/>
      <c r="BE59" s="501"/>
      <c r="BF59" s="501" t="str">
        <f>IF(T59="","",T59)</f>
        <v/>
      </c>
      <c r="BG59" s="501"/>
      <c r="BH59" s="501"/>
      <c r="BI59" s="512">
        <v>0</v>
      </c>
    </row>
    <row s="1643" customFormat="1" customHeight="1" ht="0">
      <c r="A60" s="1344" t="s">
        <v>278</v>
      </c>
      <c r="B60" s="1344" t="s">
        <v>279</v>
      </c>
      <c r="C60" s="1344" t="s">
        <v>280</v>
      </c>
      <c r="D60" s="1315"/>
      <c r="E60" s="2260"/>
      <c r="F60" s="2260"/>
      <c r="G60" s="2259"/>
      <c r="H60" s="1315"/>
      <c r="I60" s="1315"/>
      <c r="J60" s="1315"/>
      <c r="K60" s="1315"/>
      <c r="L60" s="1495"/>
      <c r="M60" s="1316"/>
      <c r="N60" s="1316"/>
      <c r="P60" s="1317"/>
      <c r="Q60" s="1318"/>
      <c r="R60" s="1317"/>
      <c r="S60" s="1323"/>
      <c r="T60" s="1326"/>
      <c r="U60" s="1325"/>
      <c r="V60" s="1325"/>
      <c r="W60" s="1325"/>
      <c r="X60" s="1325"/>
      <c r="Y60" s="1325"/>
      <c r="Z60" s="1325"/>
      <c r="AA60" s="1325"/>
      <c r="AB60" s="1325"/>
      <c r="AC60" s="1325"/>
      <c r="AD60" s="1325"/>
      <c r="AE60" s="1325"/>
      <c r="AF60" s="1325"/>
      <c r="AG60" s="1325"/>
      <c r="AH60" s="1325"/>
      <c r="AI60" s="1325"/>
      <c r="AJ60" s="1325"/>
      <c r="AK60" s="1325"/>
      <c r="AL60" s="1325"/>
      <c r="AM60" s="1325"/>
      <c r="AN60" s="1325"/>
      <c r="AO60" s="1325"/>
      <c r="AP60" s="1325"/>
      <c r="AQ60" s="1325"/>
      <c r="AR60" s="1325"/>
      <c r="AS60" s="1325"/>
      <c r="AT60" s="1325"/>
      <c r="AU60" s="1325"/>
      <c r="AV60" s="1325"/>
      <c r="AW60" s="1325"/>
      <c r="AX60" s="1325"/>
      <c r="AY60" s="1325"/>
      <c r="AZ60" s="1325"/>
      <c r="BA60" s="1325"/>
      <c r="BB60" s="1325"/>
      <c r="BC60" s="1325"/>
      <c r="BE60" s="790"/>
      <c r="BF60" s="790" t="str">
        <f>IF(T60="","",T60)</f>
        <v/>
      </c>
      <c r="BG60" s="790"/>
      <c r="BH60" s="790"/>
      <c r="BI60" s="519">
        <v>0</v>
      </c>
    </row>
    <row s="1643" customFormat="1" customHeight="1" ht="0">
      <c r="A61" s="1344" t="s">
        <v>278</v>
      </c>
      <c r="B61" s="1344" t="s">
        <v>279</v>
      </c>
      <c r="C61" s="1315"/>
      <c r="D61" s="1315"/>
      <c r="E61" s="2260"/>
      <c r="F61" s="2259"/>
      <c r="G61" s="1315"/>
      <c r="H61" s="1315"/>
      <c r="I61" s="1315"/>
      <c r="J61" s="1315"/>
      <c r="K61" s="1315"/>
      <c r="L61" s="1495"/>
      <c r="M61" s="1322"/>
      <c r="N61" s="1322"/>
      <c r="P61" s="1317"/>
      <c r="Q61" s="1318"/>
      <c r="R61" s="1317"/>
      <c r="S61" s="1323"/>
      <c r="T61" s="1326" t="s">
        <v>177</v>
      </c>
      <c r="U61" s="1325"/>
      <c r="V61" s="1325"/>
      <c r="W61" s="1325"/>
      <c r="X61" s="1325"/>
      <c r="Y61" s="1325"/>
      <c r="Z61" s="1325"/>
      <c r="AA61" s="1325"/>
      <c r="AB61" s="1325"/>
      <c r="AC61" s="1325"/>
      <c r="AD61" s="1325"/>
      <c r="AE61" s="1325"/>
      <c r="AF61" s="1325"/>
      <c r="AG61" s="1325"/>
      <c r="AH61" s="1325"/>
      <c r="AI61" s="1325"/>
      <c r="AJ61" s="1325"/>
      <c r="AK61" s="1325"/>
      <c r="AL61" s="1325"/>
      <c r="AM61" s="1325"/>
      <c r="AN61" s="1325"/>
      <c r="AO61" s="1325"/>
      <c r="AP61" s="1325"/>
      <c r="AQ61" s="1325"/>
      <c r="AR61" s="1325"/>
      <c r="AS61" s="1325"/>
      <c r="AT61" s="1325"/>
      <c r="AU61" s="1325"/>
      <c r="AV61" s="1325"/>
      <c r="AW61" s="1325"/>
      <c r="AX61" s="1325"/>
      <c r="AY61" s="1325"/>
      <c r="AZ61" s="1325"/>
      <c r="BA61" s="1325"/>
      <c r="BB61" s="1325"/>
      <c r="BC61" s="1325"/>
      <c r="BE61" s="790"/>
      <c r="BF61" s="790" t="str">
        <f>IF(T61="","",T61)</f>
        <v>Добавить централизованную систему для дифференциации</v>
      </c>
      <c r="BG61" s="790"/>
      <c r="BH61" s="790"/>
      <c r="BI61" s="519">
        <v>0</v>
      </c>
    </row>
    <row s="1643" customFormat="1" customHeight="1" ht="0">
      <c r="A62" s="1344" t="s">
        <v>278</v>
      </c>
      <c r="B62" s="1344"/>
      <c r="C62" s="1344"/>
      <c r="D62" s="1344"/>
      <c r="E62" s="2259"/>
      <c r="F62" s="1344"/>
      <c r="G62" s="1344"/>
      <c r="H62" s="1344"/>
      <c r="I62" s="1344"/>
      <c r="J62" s="1344"/>
      <c r="K62" s="1344"/>
      <c r="L62" s="1347"/>
      <c r="M62" s="1322"/>
      <c r="N62" s="1322"/>
      <c r="O62" s="519"/>
      <c r="P62" s="381"/>
      <c r="Q62" s="1345"/>
      <c r="R62" s="381"/>
      <c r="S62" s="1323"/>
      <c r="T62" s="1326" t="s">
        <v>178</v>
      </c>
      <c r="U62" s="1325"/>
      <c r="V62" s="1325"/>
      <c r="W62" s="1325"/>
      <c r="X62" s="1325"/>
      <c r="Y62" s="1325"/>
      <c r="Z62" s="1325"/>
      <c r="AA62" s="1325"/>
      <c r="AB62" s="1325"/>
      <c r="AC62" s="1325"/>
      <c r="AD62" s="1325"/>
      <c r="AE62" s="1325"/>
      <c r="AF62" s="1325"/>
      <c r="AG62" s="1325"/>
      <c r="AH62" s="1325"/>
      <c r="AI62" s="1325"/>
      <c r="AJ62" s="1325"/>
      <c r="AK62" s="1325"/>
      <c r="AL62" s="1325"/>
      <c r="AM62" s="1325"/>
      <c r="AN62" s="1325"/>
      <c r="AO62" s="1325"/>
      <c r="AP62" s="1325"/>
      <c r="AQ62" s="1325"/>
      <c r="AR62" s="1325"/>
      <c r="AS62" s="1325"/>
      <c r="AT62" s="1325"/>
      <c r="AU62" s="1325"/>
      <c r="AV62" s="1325"/>
      <c r="AW62" s="1325"/>
      <c r="AX62" s="1325"/>
      <c r="AY62" s="1325"/>
      <c r="AZ62" s="1325"/>
      <c r="BA62" s="1325"/>
      <c r="BB62" s="1325"/>
      <c r="BC62" s="1325"/>
      <c r="BE62" s="501"/>
      <c r="BF62" s="501" t="str">
        <f>IF(T62="","",T62)</f>
        <v>Добавить территорию для дифференциации</v>
      </c>
      <c r="BG62" s="501"/>
      <c r="BH62" s="501"/>
      <c r="BI62" s="512">
        <v>0</v>
      </c>
    </row>
    <row s="1643" customFormat="1" customHeight="1" ht="0">
      <c r="A63" s="1315"/>
      <c r="B63" s="1315"/>
      <c r="C63" s="1315"/>
      <c r="D63" s="1315"/>
      <c r="E63" s="1344"/>
      <c r="F63" s="1315"/>
      <c r="G63" s="1315"/>
      <c r="H63" s="1315"/>
      <c r="I63" s="1315"/>
      <c r="J63" s="1315"/>
      <c r="K63" s="1315"/>
      <c r="L63" s="1495"/>
      <c r="M63" s="1322"/>
      <c r="N63" s="1322"/>
      <c r="P63" s="1317"/>
      <c r="Q63" s="1318"/>
      <c r="R63" s="1317"/>
      <c r="S63" s="1323"/>
      <c r="T63" s="1326" t="s">
        <v>184</v>
      </c>
      <c r="U63" s="1325"/>
      <c r="V63" s="1325"/>
      <c r="W63" s="1325"/>
      <c r="X63" s="1325"/>
      <c r="Y63" s="1325"/>
      <c r="Z63" s="1325"/>
      <c r="AA63" s="1325"/>
      <c r="AB63" s="1325"/>
      <c r="AC63" s="1325"/>
      <c r="AD63" s="1325"/>
      <c r="AE63" s="1325"/>
      <c r="AF63" s="1325"/>
      <c r="AG63" s="1325"/>
      <c r="AH63" s="1325"/>
      <c r="AI63" s="1325"/>
      <c r="AJ63" s="1325"/>
      <c r="AK63" s="1325"/>
      <c r="AL63" s="1325"/>
      <c r="AM63" s="1325"/>
      <c r="AN63" s="1325"/>
      <c r="AO63" s="1325"/>
      <c r="AP63" s="1325"/>
      <c r="AQ63" s="1325"/>
      <c r="AR63" s="1325"/>
      <c r="AS63" s="1325"/>
      <c r="AT63" s="1325"/>
      <c r="AU63" s="1325"/>
      <c r="AV63" s="1325"/>
      <c r="AW63" s="1325"/>
      <c r="AX63" s="1325"/>
      <c r="AY63" s="1325"/>
      <c r="AZ63" s="1325"/>
      <c r="BA63" s="1325"/>
      <c r="BB63" s="1325"/>
      <c r="BC63" s="1325"/>
      <c r="BE63" s="790"/>
      <c r="BF63" s="790" t="str">
        <f>IF(T63="","",T63)</f>
        <v>Добавить наименование тарифа</v>
      </c>
      <c r="BG63" s="790"/>
      <c r="BH63" s="790"/>
      <c r="BI63" s="519">
        <v>0</v>
      </c>
    </row>
    <row customHeight="1" ht="11.549999999999999">
      <c r="M64" s="1161"/>
      <c r="N64" s="1161"/>
      <c r="O64" s="538"/>
      <c r="P64" s="1161"/>
      <c r="Q64" s="1161"/>
      <c r="R64" s="1156"/>
      <c r="S64" s="1156"/>
      <c r="BD64" s="1156"/>
      <c r="BE64" s="1156"/>
      <c r="BF64" s="1156"/>
      <c r="BG64" s="1156"/>
      <c r="BH64" s="1156"/>
      <c r="BI64" s="1156">
        <v>11</v>
      </c>
    </row>
    <row customHeight="1" ht="19.95">
      <c r="O65" s="538"/>
      <c r="S65" s="1254"/>
      <c r="T65" s="2286"/>
      <c r="U65" s="2286"/>
      <c r="V65" s="2286"/>
      <c r="W65" s="2286"/>
      <c r="X65" s="2286"/>
      <c r="Y65" s="2286"/>
      <c r="Z65" s="2286"/>
      <c r="AA65" s="2286"/>
      <c r="AB65" s="2286"/>
      <c r="AC65" s="2286"/>
      <c r="AD65" s="2286"/>
      <c r="AE65" s="2286"/>
      <c r="AF65" s="2286"/>
      <c r="AG65" s="2286"/>
      <c r="AH65" s="2286"/>
      <c r="AI65" s="2286"/>
      <c r="AJ65" s="2286"/>
      <c r="AK65" s="2286"/>
      <c r="AL65" s="2286"/>
      <c r="AM65" s="2286"/>
      <c r="AN65" s="2286"/>
      <c r="AO65" s="2286"/>
      <c r="AP65" s="2286"/>
      <c r="AQ65" s="2286"/>
      <c r="AR65" s="2286"/>
      <c r="AS65" s="2286"/>
      <c r="AT65" s="2286"/>
      <c r="AU65" s="2286"/>
      <c r="AV65" s="2286"/>
      <c r="AW65" s="2286"/>
      <c r="AX65" s="2286"/>
      <c r="AY65" s="2286"/>
      <c r="AZ65" s="2286"/>
      <c r="BA65" s="2286"/>
      <c r="BB65" s="2286"/>
      <c r="BC65" s="2286"/>
      <c r="BI65" s="1156">
        <v>19</v>
      </c>
    </row>
    <row customHeight="1" ht="14.699999999999998">
      <c r="O66" s="538"/>
      <c r="T66" s="1481"/>
      <c r="U66" s="1481"/>
      <c r="V66" s="1481"/>
      <c r="W66" s="1481"/>
      <c r="X66" s="1481"/>
      <c r="Y66" s="1481"/>
      <c r="Z66" s="1481"/>
      <c r="AA66" s="1481"/>
      <c r="AB66" s="1481"/>
      <c r="AC66" s="1481"/>
      <c r="AD66" s="1481"/>
      <c r="AE66" s="1481"/>
      <c r="AF66" s="1481"/>
      <c r="AG66" s="1481"/>
      <c r="AH66" s="1481"/>
      <c r="AI66" s="1481"/>
      <c r="AJ66" s="1481"/>
      <c r="AK66" s="1481"/>
      <c r="AL66" s="1481"/>
      <c r="AM66" s="1481"/>
      <c r="AN66" s="1481"/>
      <c r="AO66" s="1481"/>
      <c r="AP66" s="1481"/>
      <c r="AQ66" s="1481"/>
      <c r="AR66" s="1481"/>
      <c r="AS66" s="1481"/>
      <c r="AT66" s="1481"/>
      <c r="AU66" s="1481"/>
      <c r="AV66" s="1481"/>
      <c r="AW66" s="1481"/>
      <c r="AX66" s="1481"/>
      <c r="AY66" s="1481"/>
      <c r="AZ66" s="1481"/>
      <c r="BA66" s="1481"/>
      <c r="BB66" s="1481"/>
      <c r="BC66" s="1481"/>
      <c r="BI66" s="1156">
        <v>14</v>
      </c>
    </row>
    <row customHeight="1" ht="19.95">
      <c r="O67" s="538"/>
      <c r="S67" s="1254"/>
      <c r="T67" s="2286"/>
      <c r="U67" s="2286"/>
      <c r="V67" s="2286"/>
      <c r="W67" s="2286"/>
      <c r="X67" s="2286"/>
      <c r="Y67" s="2286"/>
      <c r="Z67" s="2286"/>
      <c r="AA67" s="2286"/>
      <c r="AB67" s="2286"/>
      <c r="AC67" s="2286"/>
      <c r="AD67" s="2286"/>
      <c r="AE67" s="2286"/>
      <c r="AF67" s="2286"/>
      <c r="AG67" s="2286"/>
      <c r="AH67" s="2286"/>
      <c r="AI67" s="2286"/>
      <c r="AJ67" s="2286"/>
      <c r="AK67" s="2286"/>
      <c r="AL67" s="2286"/>
      <c r="AM67" s="2286"/>
      <c r="AN67" s="2286"/>
      <c r="AO67" s="2286"/>
      <c r="AP67" s="2286"/>
      <c r="AQ67" s="2286"/>
      <c r="AR67" s="2286"/>
      <c r="AS67" s="2286"/>
      <c r="AT67" s="2286"/>
      <c r="AU67" s="2286"/>
      <c r="AV67" s="2286"/>
      <c r="AW67" s="2286"/>
      <c r="AX67" s="2286"/>
      <c r="AY67" s="2286"/>
      <c r="AZ67" s="2286"/>
      <c r="BA67" s="2286"/>
      <c r="BB67" s="2286"/>
      <c r="BC67" s="2286"/>
      <c r="BI67" s="1156">
        <v>19</v>
      </c>
    </row>
    <row customHeight="1" ht="14.699999999999998">
      <c r="O68" s="538"/>
      <c r="BI68" s="1156">
        <v>14</v>
      </c>
    </row>
    <row customHeight="1" ht="14.25" hidden="1">
      <c r="A69" s="1161" t="s">
        <v>83</v>
      </c>
      <c r="B69" s="1161">
        <v>0</v>
      </c>
      <c r="C69" s="1161">
        <v>0</v>
      </c>
      <c r="D69" s="1161">
        <v>0</v>
      </c>
      <c r="E69" s="1161">
        <v>0</v>
      </c>
      <c r="F69" s="1161">
        <v>0</v>
      </c>
      <c r="G69" s="1161">
        <v>0</v>
      </c>
      <c r="H69" s="1161">
        <v>0</v>
      </c>
      <c r="I69" s="1161">
        <v>0</v>
      </c>
      <c r="J69" s="1161">
        <v>0</v>
      </c>
      <c r="K69" s="1161">
        <v>0</v>
      </c>
      <c r="L69" s="1479">
        <v>0</v>
      </c>
      <c r="M69" s="1363">
        <v>0</v>
      </c>
      <c r="N69" s="1363">
        <v>0</v>
      </c>
      <c r="O69" s="1363">
        <v>0</v>
      </c>
      <c r="P69" s="1363">
        <v>0</v>
      </c>
      <c r="Q69" s="1372">
        <v>0</v>
      </c>
      <c r="R69" s="345">
        <v>3</v>
      </c>
      <c r="S69" s="582">
        <v>12</v>
      </c>
      <c r="T69" s="1156">
        <v>31</v>
      </c>
      <c r="U69" s="1156">
        <v>0</v>
      </c>
      <c r="V69" s="1156">
        <v>0</v>
      </c>
      <c r="W69" s="1156">
        <v>0</v>
      </c>
      <c r="X69" s="1156">
        <v>0</v>
      </c>
      <c r="Y69" s="1156">
        <v>0</v>
      </c>
      <c r="Z69" s="1156">
        <v>0</v>
      </c>
      <c r="AA69" s="1156">
        <v>0</v>
      </c>
      <c r="AB69" s="1156">
        <v>0</v>
      </c>
      <c r="AC69" s="1156">
        <v>0</v>
      </c>
      <c r="AD69" s="1156">
        <v>3</v>
      </c>
      <c r="AE69" s="1156">
        <v>3</v>
      </c>
      <c r="AF69" s="1156">
        <v>3</v>
      </c>
      <c r="AG69" s="1156">
        <v>24</v>
      </c>
      <c r="AH69" s="1156">
        <v>3</v>
      </c>
      <c r="AI69" s="1156">
        <v>3</v>
      </c>
      <c r="AJ69" s="1156">
        <v>3</v>
      </c>
      <c r="AK69" s="1156">
        <v>24</v>
      </c>
      <c r="AL69" s="1156">
        <v>3</v>
      </c>
      <c r="AM69" s="1156">
        <v>3</v>
      </c>
      <c r="AN69" s="1156">
        <v>3</v>
      </c>
      <c r="AO69" s="1156">
        <v>18</v>
      </c>
      <c r="AP69" s="1156">
        <v>3</v>
      </c>
      <c r="AQ69" s="1156">
        <v>3</v>
      </c>
      <c r="AR69" s="1156">
        <v>3</v>
      </c>
      <c r="AS69" s="1156">
        <v>18</v>
      </c>
      <c r="AT69" s="1156">
        <v>21</v>
      </c>
      <c r="AU69" s="1156">
        <v>21</v>
      </c>
      <c r="AV69" s="1156">
        <v>21</v>
      </c>
      <c r="AW69" s="1156">
        <v>21</v>
      </c>
      <c r="AX69" s="1156">
        <v>11</v>
      </c>
      <c r="AY69" s="1156">
        <v>3</v>
      </c>
      <c r="AZ69" s="1156">
        <v>11</v>
      </c>
      <c r="BA69" s="1156">
        <v>0</v>
      </c>
      <c r="BB69" s="1156">
        <v>4</v>
      </c>
      <c r="BC69" s="1156">
        <v>115</v>
      </c>
      <c r="BD69" s="512">
        <v>10</v>
      </c>
      <c r="BE69" s="512">
        <v>10</v>
      </c>
      <c r="BF69" s="512">
        <v>10</v>
      </c>
      <c r="BG69" s="512">
        <v>10</v>
      </c>
      <c r="BH69" s="512">
        <v>10</v>
      </c>
      <c r="BI69" s="1156">
        <v>23</v>
      </c>
    </row>
  </sheetData>
  <sheetProtection formatColumns="0" formatRows="0" autoFilter="0" sort="0" insertRows="0" insertColumns="1" deleteRows="0" deleteColumns="0"/>
  <mergeCells count="122">
    <mergeCell ref="T65:BC65"/>
    <mergeCell ref="T67:BC67"/>
    <mergeCell ref="AL52:AL54"/>
    <mergeCell ref="AM52:AM53"/>
    <mergeCell ref="AN52:AN53"/>
    <mergeCell ref="AO52:AO53"/>
    <mergeCell ref="AP52:AP53"/>
    <mergeCell ref="BC52:BC57"/>
    <mergeCell ref="AF52:AF55"/>
    <mergeCell ref="AG52:AG55"/>
    <mergeCell ref="AH52:AH55"/>
    <mergeCell ref="AI52:AI54"/>
    <mergeCell ref="AJ52:AJ54"/>
    <mergeCell ref="AK52:AK54"/>
    <mergeCell ref="I50:I58"/>
    <mergeCell ref="P50:P58"/>
    <mergeCell ref="V50:AC50"/>
    <mergeCell ref="AD50:BB50"/>
    <mergeCell ref="J51:J57"/>
    <mergeCell ref="Q51:Q57"/>
    <mergeCell ref="V51:AC51"/>
    <mergeCell ref="AD51:BB51"/>
    <mergeCell ref="K52:K56"/>
    <mergeCell ref="S52:S56"/>
    <mergeCell ref="T52:T56"/>
    <mergeCell ref="AD52:AD56"/>
    <mergeCell ref="AE52:AE55"/>
    <mergeCell ref="AA45:AB45"/>
    <mergeCell ref="AY45:AZ45"/>
    <mergeCell ref="E46:E62"/>
    <mergeCell ref="V46:AC46"/>
    <mergeCell ref="AD46:BB46"/>
    <mergeCell ref="F47:F61"/>
    <mergeCell ref="V47:AC47"/>
    <mergeCell ref="AL41:AO44"/>
    <mergeCell ref="AP41:AS44"/>
    <mergeCell ref="AT41:AZ41"/>
    <mergeCell ref="BA41:BA44"/>
    <mergeCell ref="BB41:BB44"/>
    <mergeCell ref="V42:W43"/>
    <mergeCell ref="X42:Y43"/>
    <mergeCell ref="Z42:AB43"/>
    <mergeCell ref="AT42:AU43"/>
    <mergeCell ref="AV42:AW43"/>
    <mergeCell ref="AD47:BB47"/>
    <mergeCell ref="G48:G60"/>
    <mergeCell ref="V48:AC48"/>
    <mergeCell ref="AD48:BB48"/>
    <mergeCell ref="H49:H59"/>
    <mergeCell ref="V49:AC49"/>
    <mergeCell ref="AD49:BB49"/>
    <mergeCell ref="V39:AC39"/>
    <mergeCell ref="AD39:BA39"/>
    <mergeCell ref="S40:BB40"/>
    <mergeCell ref="BC40:BC44"/>
    <mergeCell ref="S41:S44"/>
    <mergeCell ref="T41:T44"/>
    <mergeCell ref="V41:AB41"/>
    <mergeCell ref="AC41:AC44"/>
    <mergeCell ref="AD41:AG44"/>
    <mergeCell ref="AH41:AK44"/>
    <mergeCell ref="AX42:AZ43"/>
    <mergeCell ref="AA44:AB44"/>
    <mergeCell ref="AY44:AZ44"/>
    <mergeCell ref="S36:T36"/>
    <mergeCell ref="V36:AB36"/>
    <mergeCell ref="AD36:AZ36"/>
    <mergeCell ref="S37:T37"/>
    <mergeCell ref="V37:AB37"/>
    <mergeCell ref="AD37:AZ37"/>
    <mergeCell ref="S33:T33"/>
    <mergeCell ref="V33:AB33"/>
    <mergeCell ref="AD33:AZ33"/>
    <mergeCell ref="S34:T34"/>
    <mergeCell ref="V34:AB34"/>
    <mergeCell ref="AD34:AZ34"/>
    <mergeCell ref="S28:AZ28"/>
    <mergeCell ref="S29:AZ29"/>
    <mergeCell ref="S31:T31"/>
    <mergeCell ref="V31:AB31"/>
    <mergeCell ref="AD31:AZ31"/>
    <mergeCell ref="S32:T32"/>
    <mergeCell ref="V32:AB32"/>
    <mergeCell ref="AD32:AZ32"/>
    <mergeCell ref="AL8:AL10"/>
    <mergeCell ref="AM8:AM9"/>
    <mergeCell ref="AN8:AN9"/>
    <mergeCell ref="AO8:AO9"/>
    <mergeCell ref="AP8:AP9"/>
    <mergeCell ref="BC8:BC13"/>
    <mergeCell ref="AF8:AF11"/>
    <mergeCell ref="AG8:AG11"/>
    <mergeCell ref="AH8:AH11"/>
    <mergeCell ref="AI8:AI10"/>
    <mergeCell ref="AJ8:AJ10"/>
    <mergeCell ref="AK8:AK10"/>
    <mergeCell ref="K8:K12"/>
    <mergeCell ref="R8:R12"/>
    <mergeCell ref="S8:S12"/>
    <mergeCell ref="T8:T12"/>
    <mergeCell ref="AD8:AD12"/>
    <mergeCell ref="AE8:AE11"/>
    <mergeCell ref="E2:E18"/>
    <mergeCell ref="V2:AC2"/>
    <mergeCell ref="AD2:BB2"/>
    <mergeCell ref="F3:F17"/>
    <mergeCell ref="V3:AC3"/>
    <mergeCell ref="AD3:BB3"/>
    <mergeCell ref="G4:G16"/>
    <mergeCell ref="V4:AC4"/>
    <mergeCell ref="AD4:BB4"/>
    <mergeCell ref="H5:H15"/>
    <mergeCell ref="V5:AC5"/>
    <mergeCell ref="AD5:BB5"/>
    <mergeCell ref="I6:I14"/>
    <mergeCell ref="P6:P14"/>
    <mergeCell ref="V6:AC6"/>
    <mergeCell ref="AD6:BB6"/>
    <mergeCell ref="J7:J13"/>
    <mergeCell ref="Q7:Q13"/>
    <mergeCell ref="V7:AC7"/>
    <mergeCell ref="AD7:BB7"/>
  </mergeCells>
  <dataValidations count="9">
    <dataValidation type="list" allowBlank="1" showInputMessage="1" showErrorMessage="1" errorTitle="Ошибка" error="Выберите значение из списка" sqref="T65589 T131125 T196661 T262197 T327733 T393269 T458805 T524341 T589877 T655413 T720949 T786485 T852021 T917557 T983093">
      <formula1>kind_of_heat_transfer</formula1>
    </dataValidation>
    <dataValidation type="list" allowBlank="1" showInputMessage="1" showErrorMessage="1" errorTitle="Ошибка" error="Выберите значение из списка" sqref="AD917555:AS917555 AD983091:AS983091 AD65587:AS65587 AD131123:AS131123 AD196659:AS196659 AD262195:AS262195 AD327731:AS327731 AD393267:AS393267 AD458803:AS458803 AD524339:AS524339 AD589875:AS589875 AD655411:AS655411 AD720947:AS720947 AD786483:AS786483 AD852019:AS852019">
      <formula1>kind_of_scheme_in</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9 Z131125 Z196661 Z262197 Z327733 Z393269 Z458805 Z524341 Z589877 Z655413 Z720949 Z786485 Z852021 Z917557 Z983093 AB65589 AB131125 AB196661 AB262197 AB327733 AB393269 AB458805 AB524341 AB589877 AB655413 AB720949 AB786485 AB852021 AB917557 AB983093 Z8 AB8 AX65589 AX131125 AX196661 AX262197 AX327733 AX393269 AX458805 AX524341 AX589877 AX655413 AX720949 AX786485 AX852021 AX917557 AX983093 AZ65589 AZ131125 AZ196661 AZ262197 AZ327733 AZ393269 AZ458805 AZ524341 AZ589877 AZ655413 AZ720949 AZ786485 AZ852021 AZ917557 AZ983093 AX52 AX20 AZ8 AZ52 AX8 AZ20 Z52 AB52"/>
    <dataValidation allowBlank="1" promptTitle="checkPeriodRange" sqref="W131126 W196662 W262198 W327734 W393270 W458806 W524342 W589878 W655414 W720950 W786486 W852022 W917558 W983094 AW56 AU12 BB12 AW65590 AW131126 AW196662 AW262198 AW327734 AW393270 AW458806 AW524342 AW589878 AW655414 AW720950 AW786486 AW852022 AW917558 AW983094 Y65590 Y56 W65590 Y131126 Y196662 Y262198 Y327734 Y393270 Y458806 Y524342 Y589878 Y655414 Y720950 Y786486 Y852022 Y917558 Y983094 AU56 Y12 BB56 W12 AW12 W56"/>
    <dataValidation type="textLength" operator="lessThanOrEqual" allowBlank="1" showInputMessage="1" showErrorMessage="1" errorTitle="Ошибка" error="Допускается ввод не более 900 символов!" sqref="BC65583:BC65590 BC131119:BC131126 BC196655:BC196662 BC262191:BC262198 BC327727:BC327734 BC393263:BC393270 BC458799:BC458806 BC524335:BC524342 BC589871:BC589878 BC655407:BC655414 BC720943:BC720950 BC786479:BC786486 BC852015:BC852022 BC917551:BC917558 BC983087:BC983094 AS8 T8:T12 AS52 T52:T56">
      <formula1>900</formula1>
    </dataValidation>
    <dataValidation allowBlank="1" showInputMessage="1" showErrorMessage="1" prompt="Для выбора выполните двойной щелчок левой клавиши мыши по соответствующей ячейке." sqref="AA65589 AA131125 AA196661 AA262197 AA327733 AA393269 AA458805 AA524341 AA589877 AA655413 AA720949 AA786485 AA852021 AA917557 AA983093 AC131125 AC458805 AC196661 AC262197 AC327733 AC393269 AC524341 AC589877 AC655413 AC720949 AC786485 AC852021 AC917557 AC983093 AC65589 AH52:AH53 AY8 AP52 AK52:AL53 AA8 AY65589 AY131125 AY196661 AY262197 AY327733 AY393269 AY458805 AY524341 AY589877 AY655413 AY720949 AY786485 AY852021 AY917557 AY983093 BA458805 BA196661 BA262197 BA327733 BA393269 BA524341 BA589877 BA655413 BA720949 BA786485 BA852021 BA917557 BA983093 BA65589 BA52 AC8:AD8 BA20 BA8 AY52 AK8:AL9 AD20 AG20:AH20 AK20:AL20 AP20 AY20 AH8:AH9 AP8 BA131125 AC52:AD52 AA52"/>
    <dataValidation type="decimal" allowBlank="1" showErrorMessage="1" errorTitle="Ошибка" error="Допускается ввод только действительных чисел!" sqref="AO52:AO53 AG8:AG11 AO8:AO9 AG52:AG55">
      <formula1>-9.99999999999999E+23</formula1>
      <formula2>9.99999999999999E+23</formula2>
    </dataValidation>
    <dataValidation type="list" allowBlank="1" showInputMessage="1" errorTitle="Ошибка" error="Выберите значение из списка" prompt="Выберите значение из списка" sqref="V983092:BB983092 V917556:BB917556 V852020:BB852020 V786484:BB786484 V720948:BB720948 V655412:BB655412 V589876:BB589876 V524340:BB524340 V458804:BB458804 V393268:BB393268 V327732:BB327732 V262196:BB262196 V196660:BB196660 V131124:BB131124 V65588:BB65588">
      <formula1>kind_of_cons</formula1>
    </dataValidation>
    <dataValidation allowBlank="1" sqref="S65591:BC65597 S983095:BC983101 S917559:BC917565 S852023:BC852029 S786487:BC786493 S720951:BC720957 S655415:BC655421 S589879:BC589885 S524343:BC524349 S458807:BC458813 S393271:BC393277 S327735:BC327741 S262199:BC262205 S196663:BC196669 S131127:BC131133"/>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077233C2-F7E8-E408-0F38-5CF665AA5A68}" mc:Ignorable="x14ac xr xr2 xr3">
  <sheetPr>
    <tabColor theme="9" tint="-0.25"/>
  </sheetPr>
  <dimension ref="A1:AF303"/>
  <sheetViews>
    <sheetView showGridLines="0" zoomScale="90" workbookViewId="0">
      <pane xSplit="8" ySplit="29" topLeftCell="I30" activePane="bottomRight" state="frozen"/>
      <selection pane="bottomLeft" activeCell="A30" sqref="A30"/>
      <selection pane="topRight" activeCell="I1" sqref="I1"/>
      <selection pane="bottomRight" activeCell="A1" sqref="A1"/>
    </sheetView>
  </sheetViews>
  <sheetFormatPr defaultColWidth="9.140625" customHeight="1" defaultRowHeight="11.25"/>
  <cols>
    <col min="1" max="1" style="988" width="10.7109375" hidden="1" customWidth="1"/>
    <col min="2" max="2" style="1367" width="16.8515625" hidden="1" customWidth="1"/>
    <col min="3" max="3" style="1643" width="5.57421875" hidden="1" customWidth="1"/>
    <col min="4" max="4" style="1636" width="3.00390625" customWidth="1"/>
    <col min="5" max="5" style="1636" width="7.00390625" customWidth="1"/>
    <col min="6" max="6" style="1636" width="54.00390625" customWidth="1"/>
    <col min="7" max="7" style="1636" width="10.00390625" customWidth="1"/>
    <col min="8" max="8" style="1636" width="40.7109375" hidden="1" customWidth="1"/>
    <col min="9" max="9" style="1636" width="40.7109375" customWidth="1"/>
    <col min="10" max="10" style="1636" width="102.00390625" customWidth="1"/>
    <col min="11" max="11" style="1367" width="9.00390625" customWidth="1"/>
    <col min="12" max="12" style="1643" width="5.00390625" customWidth="1"/>
    <col min="13" max="13" style="1643" width="3.00390625" customWidth="1"/>
    <col min="14" max="17" style="1367" width="3.00390625" customWidth="1"/>
    <col min="18" max="18" style="1643" width="10.00390625" customWidth="1"/>
    <col min="19" max="19" style="1367" width="34.00390625" customWidth="1"/>
    <col min="20" max="20" style="1367" width="9.00390625" customWidth="1"/>
    <col min="21" max="21" style="737" width="8.00390625" customWidth="1"/>
    <col min="22" max="26" style="1367" width="8.00390625" customWidth="1"/>
    <col min="27" max="31" style="1633" width="8.00390625" customWidth="1"/>
    <col min="32" max="32" style="1636" width="9.140625" hidden="1"/>
  </cols>
  <sheetData>
    <row customHeight="1" ht="22.5" hidden="1">
      <c r="AF1" s="1632" t="s">
        <v>14</v>
      </c>
    </row>
    <row customHeight="1" ht="23.25" hidden="1">
      <c r="B2" s="2100"/>
      <c r="C2" s="1168" t="s">
        <v>564</v>
      </c>
      <c r="D2" s="1639"/>
      <c r="E2" s="547">
        <f>B2</f>
        <v>0</v>
      </c>
      <c r="F2" s="548"/>
      <c r="G2" s="1647" t="s">
        <v>565</v>
      </c>
      <c r="H2" s="1647" t="s">
        <v>565</v>
      </c>
      <c r="I2" s="1647" t="s">
        <v>565</v>
      </c>
      <c r="J2" s="290" t="s">
        <v>566</v>
      </c>
      <c r="K2" s="544"/>
      <c r="AF2" s="1632">
        <v>0</v>
      </c>
    </row>
    <row s="1643" customFormat="1" customHeight="1" ht="0.75" hidden="1">
      <c r="B3" s="2100"/>
      <c r="C3" s="1168"/>
      <c r="D3" s="549"/>
      <c r="E3" s="550"/>
      <c r="F3" s="551" t="s">
        <v>567</v>
      </c>
      <c r="G3" s="552"/>
      <c r="H3" s="552">
        <f>H4*H5+H7</f>
        <v>0</v>
      </c>
      <c r="I3" s="552">
        <f>I4*I5+I6</f>
        <v>0</v>
      </c>
      <c r="J3" s="553"/>
      <c r="AF3" s="1637">
        <v>0</v>
      </c>
    </row>
    <row customHeight="1" ht="23.25" hidden="1">
      <c r="B4" s="2100"/>
      <c r="C4" s="1168"/>
      <c r="D4" s="1639"/>
      <c r="E4" s="547" t="str">
        <f>B2&amp;".1"</f>
        <v>.1</v>
      </c>
      <c r="F4" s="554" t="s">
        <v>568</v>
      </c>
      <c r="G4" s="555"/>
      <c r="H4" s="542"/>
      <c r="I4" s="542"/>
      <c r="J4" s="290" t="s">
        <v>569</v>
      </c>
      <c r="K4" s="544"/>
      <c r="AF4" s="1632">
        <v>0</v>
      </c>
    </row>
    <row customHeight="1" ht="18.75" hidden="1">
      <c r="B5" s="2100"/>
      <c r="C5" s="1168"/>
      <c r="D5" s="1639"/>
      <c r="E5" s="547" t="str">
        <f>B2&amp;".2"</f>
        <v>.2</v>
      </c>
      <c r="F5" s="554" t="s">
        <v>570</v>
      </c>
      <c r="G5" s="1647" t="s">
        <v>571</v>
      </c>
      <c r="H5" s="542"/>
      <c r="I5" s="542"/>
      <c r="J5" s="290"/>
      <c r="K5" s="544"/>
      <c r="AF5" s="1632">
        <v>0</v>
      </c>
    </row>
    <row customHeight="1" ht="18.75" hidden="1">
      <c r="B6" s="2100"/>
      <c r="C6" s="1168"/>
      <c r="D6" s="1639"/>
      <c r="E6" s="547" t="str">
        <f>B2&amp;".3"</f>
        <v>.3</v>
      </c>
      <c r="F6" s="554" t="s">
        <v>572</v>
      </c>
      <c r="G6" s="1647" t="s">
        <v>571</v>
      </c>
      <c r="H6" s="542"/>
      <c r="I6" s="542"/>
      <c r="J6" s="290"/>
      <c r="K6" s="544"/>
      <c r="AF6" s="1632">
        <v>0</v>
      </c>
    </row>
    <row customHeight="1" ht="18.75" hidden="1">
      <c r="B7" s="2100"/>
      <c r="C7" s="1168"/>
      <c r="D7" s="1639"/>
      <c r="E7" s="547" t="str">
        <f>B2&amp;".4"</f>
        <v>.4</v>
      </c>
      <c r="F7" s="554" t="s">
        <v>573</v>
      </c>
      <c r="G7" s="1647" t="s">
        <v>565</v>
      </c>
      <c r="H7" s="556"/>
      <c r="I7" s="556"/>
      <c r="J7" s="290"/>
      <c r="K7" s="544"/>
      <c r="AF7" s="1632">
        <v>0</v>
      </c>
    </row>
    <row s="1367" customFormat="1" customHeight="1" ht="11.25" hidden="1">
      <c r="A8" s="988"/>
      <c r="C8" s="1637"/>
      <c r="D8" s="538"/>
      <c r="H8" s="1161">
        <v>4</v>
      </c>
      <c r="I8" s="1161">
        <v>4</v>
      </c>
      <c r="L8" s="1637"/>
      <c r="M8" s="1637"/>
      <c r="R8" s="1637"/>
      <c r="AF8" s="1161">
        <v>0</v>
      </c>
    </row>
    <row s="1367" customFormat="1" customHeight="1" ht="22.5" hidden="1">
      <c r="A9" s="988"/>
      <c r="C9" s="1637"/>
      <c r="D9" s="539"/>
      <c r="E9" s="1649"/>
      <c r="F9" s="541"/>
      <c r="G9" s="1647" t="s">
        <v>571</v>
      </c>
      <c r="H9" s="542"/>
      <c r="I9" s="542"/>
      <c r="J9" s="543" t="s">
        <v>574</v>
      </c>
      <c r="K9" s="544"/>
      <c r="L9" s="1637"/>
      <c r="M9" s="1637"/>
      <c r="R9" s="1637"/>
      <c r="U9" s="545"/>
      <c r="AA9" s="1633"/>
      <c r="AB9" s="1633"/>
      <c r="AC9" s="1633"/>
      <c r="AD9" s="1633"/>
      <c r="AE9" s="1633"/>
      <c r="AF9" s="1161">
        <v>0</v>
      </c>
    </row>
    <row customHeight="1" ht="11.25" hidden="1">
      <c r="AF10" s="1632">
        <v>0</v>
      </c>
    </row>
    <row customHeight="1" ht="18.75" hidden="1">
      <c r="D11" s="1639"/>
      <c r="E11" s="547"/>
      <c r="F11" s="541"/>
      <c r="G11" s="1647" t="s">
        <v>575</v>
      </c>
      <c r="H11" s="542"/>
      <c r="I11" s="542"/>
      <c r="J11" s="290" t="s">
        <v>576</v>
      </c>
      <c r="K11" s="544"/>
      <c r="AF11" s="1632">
        <v>0</v>
      </c>
    </row>
    <row customHeight="1" ht="11.25" hidden="1">
      <c r="AF12" s="1632">
        <v>0</v>
      </c>
    </row>
    <row customHeight="1" ht="22.5" hidden="1">
      <c r="D13" s="1639"/>
      <c r="E13" s="547"/>
      <c r="F13" s="541"/>
      <c r="G13" s="970" t="s">
        <v>577</v>
      </c>
      <c r="H13" s="546"/>
      <c r="I13" s="546"/>
      <c r="J13" s="746" t="s">
        <v>578</v>
      </c>
      <c r="K13" s="544"/>
      <c r="AF13" s="1632">
        <v>0</v>
      </c>
    </row>
    <row customHeight="1" ht="11.25" hidden="1">
      <c r="AF14" s="1632">
        <v>0</v>
      </c>
    </row>
    <row customHeight="1" ht="22.5" hidden="1">
      <c r="D15" s="1639"/>
      <c r="E15" s="547"/>
      <c r="F15" s="541"/>
      <c r="G15" s="1647" t="s">
        <v>579</v>
      </c>
      <c r="H15" s="546"/>
      <c r="I15" s="546"/>
      <c r="J15" s="290" t="s">
        <v>580</v>
      </c>
      <c r="K15" s="544"/>
      <c r="AF15" s="1632">
        <v>0</v>
      </c>
    </row>
    <row customHeight="1" ht="11.25" hidden="1">
      <c r="AF16" s="1632">
        <v>0</v>
      </c>
    </row>
    <row customHeight="1" ht="22.5" hidden="1">
      <c r="D17" s="1639"/>
      <c r="E17" s="547"/>
      <c r="F17" s="541"/>
      <c r="G17" s="1647" t="s">
        <v>581</v>
      </c>
      <c r="H17" s="546"/>
      <c r="I17" s="546"/>
      <c r="J17" s="290" t="s">
        <v>582</v>
      </c>
      <c r="K17" s="544"/>
      <c r="AF17" s="1632">
        <v>0</v>
      </c>
    </row>
    <row customHeight="1" ht="11.25" hidden="1">
      <c r="AF18" s="1632">
        <v>0</v>
      </c>
    </row>
    <row s="1633" customFormat="1" customHeight="1" ht="11.25" hidden="1">
      <c r="A19" s="988"/>
      <c r="B19" s="1161"/>
      <c r="C19" s="1637"/>
      <c r="D19" s="363"/>
      <c r="J19" s="1633">
        <v>4</v>
      </c>
      <c r="K19" s="1161"/>
      <c r="L19" s="1637"/>
      <c r="M19" s="1637"/>
      <c r="N19" s="1161"/>
      <c r="O19" s="1161"/>
      <c r="P19" s="1161"/>
      <c r="Q19" s="1161"/>
      <c r="R19" s="1637"/>
      <c r="S19" s="1161"/>
      <c r="T19" s="1161"/>
      <c r="U19" s="545"/>
      <c r="V19" s="1161"/>
      <c r="W19" s="1161"/>
      <c r="X19" s="1161"/>
      <c r="Y19" s="1161"/>
      <c r="Z19" s="1161"/>
      <c r="AF19" s="1633">
        <v>0</v>
      </c>
    </row>
    <row customHeight="1" ht="11.549999999999999">
      <c r="AF20" s="1632">
        <v>11</v>
      </c>
    </row>
    <row customHeight="1" ht="25.2">
      <c r="E21" s="2249" t="str">
        <f>FHD_NAME_FORM</f>
        <v>Форма 7. Информация об основных показателях финансово-хозяйственной деятельности регулируемой организации, включая структуру основных производственных затрат (в части регулируемых видов деятельности)</v>
      </c>
      <c r="F21" s="2249"/>
      <c r="G21" s="2249"/>
      <c r="H21" s="2249"/>
      <c r="I21" s="2249"/>
      <c r="J21" s="557"/>
      <c r="AF21" s="1632">
        <v>24</v>
      </c>
    </row>
    <row customHeight="1" ht="25.2">
      <c r="E22" s="2250" t="str">
        <f>IF(org=0,"Не определено",org)</f>
        <v>ПАО "КГК"</v>
      </c>
      <c r="F22" s="2250"/>
      <c r="G22" s="2250"/>
      <c r="H22" s="2250"/>
      <c r="I22" s="2250"/>
      <c r="AF22" s="1632">
        <v>24</v>
      </c>
    </row>
    <row customHeight="1" ht="11.549999999999999">
      <c r="E23" s="1136"/>
      <c r="F23" s="1136"/>
      <c r="G23" s="1136"/>
      <c r="H23" s="1136"/>
      <c r="I23" s="1136"/>
      <c r="AF23" s="1632">
        <v>11</v>
      </c>
    </row>
    <row s="1643" customFormat="1" customHeight="1" ht="1.05">
      <c r="A24" s="1168"/>
      <c r="D24" s="1643"/>
      <c r="H24" s="890"/>
      <c r="I24" s="890" t="s">
        <v>125</v>
      </c>
      <c r="AF24" s="1637">
        <v>1</v>
      </c>
    </row>
    <row customHeight="1" ht="11.549999999999999">
      <c r="E25" s="712"/>
      <c r="F25" s="2368" t="s">
        <v>114</v>
      </c>
      <c r="G25" s="2369"/>
      <c r="H25" s="1653" t="str">
        <f>IF(H24="","",INDEX(DIFFERENTIATION_UNMERGE_VD,MATCH(H24,DIFFERENTIATION_ID_DIFF,0)))</f>
        <v/>
      </c>
      <c r="I25" s="1653">
        <f>IF(I24="","",INDEX(DIFFERENTIATION_UNMERGE_VD,MATCH(I24,DIFFERENTIATION_ID_DIFF,0)))</f>
        <v>0</v>
      </c>
      <c r="J25" s="2128"/>
      <c r="AF25" s="1632">
        <v>11</v>
      </c>
    </row>
    <row customHeight="1" ht="11.549999999999999">
      <c r="E26" s="712"/>
      <c r="F26" s="2368" t="s">
        <v>583</v>
      </c>
      <c r="G26" s="2369"/>
      <c r="H26" s="1653" t="str">
        <f>IF(H24="","",INDEX(DIFFERENTIATION_UNMERGE_AREA,MATCH(H24,DIFFERENTIATION_ID_DIFF,0)))</f>
        <v/>
      </c>
      <c r="I26" s="1653" t="str">
        <f>IF(I24="","",INDEX(DIFFERENTIATION_UNMERGE_AREA,MATCH(I24,DIFFERENTIATION_ID_DIFF,0)))</f>
        <v/>
      </c>
      <c r="J26" s="2128"/>
      <c r="AF26" s="1632">
        <v>11</v>
      </c>
    </row>
    <row customHeight="1" ht="11.549999999999999">
      <c r="E27" s="712"/>
      <c r="F27" s="2368" t="s">
        <v>584</v>
      </c>
      <c r="G27" s="2369"/>
      <c r="H27" s="1653" t="str">
        <f>IF(H24="","",INDEX(DIFFERENTIATION_UNMERGE_SYSTEM,MATCH(H24,DIFFERENTIATION_ID_DIFF,0)))</f>
        <v/>
      </c>
      <c r="I27" s="1653" t="str">
        <f>IF(I24="","",INDEX(DIFFERENTIATION_UNMERGE_SYSTEM,MATCH(I24,DIFFERENTIATION_ID_DIFF,0)))</f>
        <v>без дифференциации</v>
      </c>
      <c r="J27" s="2128"/>
      <c r="AF27" s="1632">
        <v>11</v>
      </c>
    </row>
    <row customHeight="1" ht="11.549999999999999">
      <c r="E28" s="2370" t="s">
        <v>317</v>
      </c>
      <c r="F28" s="2371"/>
      <c r="G28" s="2371"/>
      <c r="H28" s="1646"/>
      <c r="I28" s="1646"/>
      <c r="J28" s="2128"/>
      <c r="AF28" s="1632">
        <v>11</v>
      </c>
    </row>
    <row customHeight="1" ht="24">
      <c r="E29" s="1647" t="s">
        <v>89</v>
      </c>
      <c r="F29" s="1654" t="s">
        <v>319</v>
      </c>
      <c r="G29" s="1654" t="s">
        <v>585</v>
      </c>
      <c r="H29" s="1654" t="s">
        <v>320</v>
      </c>
      <c r="I29" s="1654" t="s">
        <v>320</v>
      </c>
      <c r="J29" s="2128"/>
      <c r="AF29" s="1632">
        <v>23</v>
      </c>
    </row>
    <row customHeight="1" ht="19.95">
      <c r="D30" s="1639"/>
      <c r="E30" s="547">
        <f>FHD_NUM_P_1</f>
        <v>1</v>
      </c>
      <c r="F30" s="1881" t="str">
        <f>FHD_P_1</f>
        <v>Выручка от регулируемого вида деятельности с распределением по видам деятельности</v>
      </c>
      <c r="G30" s="1879" t="s">
        <v>571</v>
      </c>
      <c r="H30" s="558"/>
      <c r="I30" s="558"/>
      <c r="J30" s="290" t="str">
        <f>FHD_NOTE_P_1</f>
        <v>Указывается выручка от регулируемого вида деятельности с распределением по видам деятельности.</v>
      </c>
      <c r="K30" s="544"/>
      <c r="AF30" s="1632">
        <v>19</v>
      </c>
    </row>
    <row customHeight="1" ht="11.549999999999999">
      <c r="D31" s="1639"/>
      <c r="E31" s="547">
        <f>FHD_NUM_P_2</f>
        <v>2</v>
      </c>
      <c r="F31" s="1881" t="str">
        <f>FHD_P_2</f>
        <v>Себестоимость производимых товаров (оказываемых услуг) по регулируемому виду деятельности, включая:</v>
      </c>
      <c r="G31" s="1879" t="s">
        <v>571</v>
      </c>
      <c r="H31" s="559">
        <f>SUMIF($K33:$K71,$K31,H33:H71)</f>
        <v>0</v>
      </c>
      <c r="I31" s="559">
        <f>SUMIF($K33:$K71,$K31,I33:I71)</f>
        <v>0</v>
      </c>
      <c r="J31" s="290" t="str">
        <f>FHD_NOTE_P_2</f>
        <v>Указывается суммарная себестоимость производимых товаров.</v>
      </c>
      <c r="K31" s="1637" t="s">
        <v>586</v>
      </c>
      <c r="AF31" s="1632">
        <v>11</v>
      </c>
    </row>
    <row customHeight="1" ht="11.549999999999999">
      <c r="D32" s="1639"/>
      <c r="E32" s="547" t="str">
        <f>FHD_NUM_P_3</f>
        <v>2.1</v>
      </c>
      <c r="F32" s="1525" t="str">
        <f>FHD_P_3</f>
        <v>Расходы на приобретаемую тепловую энергию (мощность), теплоноситель</v>
      </c>
      <c r="G32" s="1879" t="s">
        <v>571</v>
      </c>
      <c r="H32" s="558"/>
      <c r="I32" s="558"/>
      <c r="J32" s="290" t="str">
        <f>FHD_NOTE_P_3</f>
        <v/>
      </c>
      <c r="K32" s="1637" t="str">
        <f>IF((LEN(E32)-LEN(SUBSTITUTE(E32,".","")))/LEN(".")=1,"p","")</f>
        <v>p</v>
      </c>
      <c r="AF32" s="1632">
        <v>11</v>
      </c>
    </row>
    <row customHeight="1" ht="11.25">
      <c r="A33" s="2372" t="s">
        <v>587</v>
      </c>
      <c r="D33" s="1639"/>
      <c r="E33" s="547" t="str">
        <f>FHD_NUM_P_4</f>
        <v>2.2</v>
      </c>
      <c r="F33" s="1525" t="str">
        <f>FHD_P_4</f>
        <v>Расходы на топливо с указанием по каждому виду топлива стоимости (за единицу объема), объема и способа его приобретения, стоимости его доставки</v>
      </c>
      <c r="G33" s="1879" t="s">
        <v>571</v>
      </c>
      <c r="H33" s="559">
        <f>SUMIF($F34:$F40,$F3,H34:H40)</f>
        <v>0</v>
      </c>
      <c r="I33" s="559">
        <f>SUMIF($F34:$F40,$F3,I34:I40)</f>
        <v>0</v>
      </c>
      <c r="J33" s="290" t="str">
        <f>FHD_NOTE_P_4</f>
        <v>Указываются суммарные расходы на приобретение топлива всех видов.</v>
      </c>
      <c r="K33" s="1637" t="str">
        <f>IF((LEN(E33)-LEN(SUBSTITUTE(E33,".","")))/LEN(".")=1,"p","")</f>
        <v>p</v>
      </c>
      <c r="AF33" s="1632">
        <v>0</v>
      </c>
    </row>
    <row s="1642" customFormat="1" customHeight="1" ht="0.75">
      <c r="A34" s="2372"/>
      <c r="B34" s="2373" t="str">
        <f>E33&amp;".0"</f>
        <v>2.2.0</v>
      </c>
      <c r="C34" s="1168"/>
      <c r="D34" s="561"/>
      <c r="E34" s="562"/>
      <c r="F34" s="563"/>
      <c r="G34" s="564"/>
      <c r="H34" s="498"/>
      <c r="I34" s="498"/>
      <c r="J34" s="565"/>
      <c r="K34" s="1637" t="str">
        <f>IF((LEN(E34)-LEN(SUBSTITUTE(E34,".","")))/LEN(".")=1,"p","")</f>
        <v/>
      </c>
      <c r="L34" s="1637"/>
      <c r="M34" s="1637"/>
      <c r="N34" s="1637"/>
      <c r="O34" s="1637"/>
      <c r="P34" s="1637"/>
      <c r="Q34" s="1637"/>
      <c r="R34" s="1637"/>
      <c r="S34" s="1637"/>
      <c r="T34" s="1637"/>
      <c r="U34" s="566"/>
      <c r="V34" s="1637"/>
      <c r="W34" s="1637"/>
      <c r="X34" s="1637"/>
      <c r="Y34" s="1637"/>
      <c r="Z34" s="1637"/>
      <c r="AA34" s="567"/>
      <c r="AB34" s="567"/>
      <c r="AC34" s="567"/>
      <c r="AD34" s="567"/>
      <c r="AE34" s="567"/>
      <c r="AF34" s="1642">
        <v>0</v>
      </c>
    </row>
    <row s="1642" customFormat="1" customHeight="1" ht="0.75">
      <c r="A35" s="2372"/>
      <c r="B35" s="2373"/>
      <c r="C35" s="1168"/>
      <c r="D35" s="561"/>
      <c r="E35" s="568"/>
      <c r="F35" s="569"/>
      <c r="G35" s="564"/>
      <c r="H35" s="570"/>
      <c r="I35" s="570"/>
      <c r="J35" s="565"/>
      <c r="K35" s="1637" t="str">
        <f>IF((LEN(E35)-LEN(SUBSTITUTE(E35,".","")))/LEN(".")=1,"p","")</f>
        <v/>
      </c>
      <c r="L35" s="1637"/>
      <c r="M35" s="1637"/>
      <c r="N35" s="1637"/>
      <c r="O35" s="1637"/>
      <c r="P35" s="1637"/>
      <c r="Q35" s="1637"/>
      <c r="R35" s="1637"/>
      <c r="S35" s="1637"/>
      <c r="T35" s="1637"/>
      <c r="U35" s="566"/>
      <c r="V35" s="1637"/>
      <c r="W35" s="1637"/>
      <c r="X35" s="1637"/>
      <c r="Y35" s="1637"/>
      <c r="Z35" s="1637"/>
      <c r="AA35" s="567"/>
      <c r="AB35" s="567"/>
      <c r="AC35" s="567"/>
      <c r="AD35" s="567"/>
      <c r="AE35" s="567"/>
      <c r="AF35" s="1642">
        <v>0</v>
      </c>
    </row>
    <row s="1642" customFormat="1" customHeight="1" ht="0.75">
      <c r="A36" s="2372"/>
      <c r="B36" s="2373"/>
      <c r="C36" s="1168"/>
      <c r="D36" s="561"/>
      <c r="E36" s="568"/>
      <c r="F36" s="569"/>
      <c r="G36" s="564"/>
      <c r="H36" s="570"/>
      <c r="I36" s="570"/>
      <c r="J36" s="565"/>
      <c r="K36" s="1637" t="str">
        <f>IF((LEN(E36)-LEN(SUBSTITUTE(E36,".","")))/LEN(".")=1,"p","")</f>
        <v/>
      </c>
      <c r="L36" s="1637"/>
      <c r="M36" s="1637"/>
      <c r="N36" s="1637"/>
      <c r="O36" s="1637"/>
      <c r="P36" s="1637"/>
      <c r="Q36" s="1637"/>
      <c r="R36" s="1637"/>
      <c r="S36" s="1637"/>
      <c r="T36" s="1637"/>
      <c r="U36" s="566"/>
      <c r="V36" s="1637"/>
      <c r="W36" s="1637"/>
      <c r="X36" s="1637"/>
      <c r="Y36" s="1637"/>
      <c r="Z36" s="1637"/>
      <c r="AA36" s="567"/>
      <c r="AB36" s="567"/>
      <c r="AC36" s="567"/>
      <c r="AD36" s="567"/>
      <c r="AE36" s="567"/>
      <c r="AF36" s="1642">
        <v>0</v>
      </c>
    </row>
    <row s="1642" customFormat="1" customHeight="1" ht="0.75">
      <c r="A37" s="2372"/>
      <c r="B37" s="2373"/>
      <c r="C37" s="1168"/>
      <c r="D37" s="561"/>
      <c r="E37" s="568"/>
      <c r="F37" s="569"/>
      <c r="G37" s="564"/>
      <c r="H37" s="570"/>
      <c r="I37" s="570"/>
      <c r="J37" s="565"/>
      <c r="K37" s="1637" t="str">
        <f>IF((LEN(E37)-LEN(SUBSTITUTE(E37,".","")))/LEN(".")=1,"p","")</f>
        <v/>
      </c>
      <c r="L37" s="1637"/>
      <c r="M37" s="1637"/>
      <c r="N37" s="1637"/>
      <c r="O37" s="1637"/>
      <c r="P37" s="1637"/>
      <c r="Q37" s="1637"/>
      <c r="R37" s="1637"/>
      <c r="S37" s="1637"/>
      <c r="T37" s="1637"/>
      <c r="U37" s="566"/>
      <c r="V37" s="1637"/>
      <c r="W37" s="1637"/>
      <c r="X37" s="1637"/>
      <c r="Y37" s="1637"/>
      <c r="Z37" s="1637"/>
      <c r="AA37" s="567"/>
      <c r="AB37" s="567"/>
      <c r="AC37" s="567"/>
      <c r="AD37" s="567"/>
      <c r="AE37" s="567"/>
      <c r="AF37" s="1642">
        <v>0</v>
      </c>
    </row>
    <row s="1642" customFormat="1" customHeight="1" ht="0.75">
      <c r="A38" s="2372"/>
      <c r="B38" s="2373"/>
      <c r="C38" s="1168"/>
      <c r="D38" s="561"/>
      <c r="E38" s="568"/>
      <c r="F38" s="569"/>
      <c r="G38" s="564"/>
      <c r="H38" s="570"/>
      <c r="I38" s="570"/>
      <c r="J38" s="565"/>
      <c r="K38" s="1637" t="str">
        <f>IF((LEN(E38)-LEN(SUBSTITUTE(E38,".","")))/LEN(".")=1,"p","")</f>
        <v/>
      </c>
      <c r="L38" s="1637"/>
      <c r="M38" s="1637"/>
      <c r="N38" s="1637"/>
      <c r="O38" s="1637"/>
      <c r="P38" s="1637"/>
      <c r="Q38" s="1637"/>
      <c r="R38" s="1637"/>
      <c r="S38" s="1637"/>
      <c r="T38" s="1637"/>
      <c r="U38" s="566"/>
      <c r="V38" s="1637"/>
      <c r="W38" s="1637"/>
      <c r="X38" s="1637"/>
      <c r="Y38" s="1637"/>
      <c r="Z38" s="1637"/>
      <c r="AA38" s="567"/>
      <c r="AB38" s="567"/>
      <c r="AC38" s="567"/>
      <c r="AD38" s="567"/>
      <c r="AE38" s="567"/>
      <c r="AF38" s="1642">
        <v>0</v>
      </c>
    </row>
    <row s="1642" customFormat="1" customHeight="1" ht="0.75">
      <c r="A39" s="2372"/>
      <c r="B39" s="2373"/>
      <c r="C39" s="1168"/>
      <c r="D39" s="561"/>
      <c r="E39" s="568"/>
      <c r="F39" s="569"/>
      <c r="G39" s="564"/>
      <c r="H39" s="498"/>
      <c r="I39" s="498"/>
      <c r="J39" s="565"/>
      <c r="K39" s="1637" t="str">
        <f>IF((LEN(E39)-LEN(SUBSTITUTE(E39,".","")))/LEN(".")=1,"p","")</f>
        <v/>
      </c>
      <c r="L39" s="1637"/>
      <c r="M39" s="1637"/>
      <c r="N39" s="1637"/>
      <c r="O39" s="1637"/>
      <c r="P39" s="1637"/>
      <c r="Q39" s="1637"/>
      <c r="R39" s="1637"/>
      <c r="S39" s="1637"/>
      <c r="T39" s="1637"/>
      <c r="U39" s="566"/>
      <c r="V39" s="1637"/>
      <c r="W39" s="1637"/>
      <c r="X39" s="1637"/>
      <c r="Y39" s="1637"/>
      <c r="Z39" s="1637"/>
      <c r="AA39" s="567"/>
      <c r="AB39" s="567"/>
      <c r="AC39" s="567"/>
      <c r="AD39" s="567"/>
      <c r="AE39" s="567"/>
      <c r="AF39" s="1642">
        <v>0</v>
      </c>
    </row>
    <row s="1367" customFormat="1" customHeight="1" ht="15">
      <c r="A40" s="2372"/>
      <c r="C40" s="1637"/>
      <c r="D40" s="1634"/>
      <c r="E40" s="571"/>
      <c r="F40" s="572" t="s">
        <v>588</v>
      </c>
      <c r="G40" s="573"/>
      <c r="H40" s="574"/>
      <c r="I40" s="574"/>
      <c r="J40" s="302"/>
      <c r="K40" s="1637" t="str">
        <f>IF((LEN(E40)-LEN(SUBSTITUTE(E40,".","")))/LEN(".")=1,"p","")</f>
        <v/>
      </c>
      <c r="L40" s="1637"/>
      <c r="M40" s="1637"/>
      <c r="R40" s="1637"/>
      <c r="U40" s="545"/>
      <c r="AA40" s="1633"/>
      <c r="AB40" s="1633"/>
      <c r="AC40" s="1633"/>
      <c r="AD40" s="1633"/>
      <c r="AE40" s="1633"/>
      <c r="AF40" s="1161">
        <v>0</v>
      </c>
    </row>
    <row customHeight="1" ht="11.25" hidden="1">
      <c r="A41" s="2372" t="s">
        <v>589</v>
      </c>
      <c r="D41" s="1639"/>
      <c r="E41" s="547" t="str">
        <f>FHD_NUM_P_5</f>
        <v/>
      </c>
      <c r="F41" s="1525" t="str">
        <f>FHD_P_5</f>
        <v/>
      </c>
      <c r="G41" s="1879" t="s">
        <v>571</v>
      </c>
      <c r="H41" s="558"/>
      <c r="I41" s="558"/>
      <c r="J41" s="290" t="str">
        <f>FHD_NOTE_P_5</f>
        <v/>
      </c>
      <c r="K41" s="1637" t="str">
        <f>IF((LEN(E41)-LEN(SUBSTITUTE(E41,".","")))/LEN(".")=1,"p","")</f>
        <v/>
      </c>
      <c r="AF41" s="1632">
        <v>0</v>
      </c>
    </row>
    <row customHeight="1" ht="11.25" hidden="1">
      <c r="A42" s="2372"/>
      <c r="D42" s="1639"/>
      <c r="E42" s="547" t="str">
        <f>FHD_NUM_P_6</f>
        <v/>
      </c>
      <c r="F42" s="1525" t="str">
        <f>FHD_P_6</f>
        <v/>
      </c>
      <c r="G42" s="1879" t="s">
        <v>571</v>
      </c>
      <c r="H42" s="558"/>
      <c r="I42" s="558"/>
      <c r="J42" s="290" t="str">
        <f>FHD_NOTE_P_6</f>
        <v/>
      </c>
      <c r="K42" s="1637" t="str">
        <f>IF((LEN(E42)-LEN(SUBSTITUTE(E42,".","")))/LEN(".")=1,"p","")</f>
        <v/>
      </c>
      <c r="AF42" s="1632">
        <v>0</v>
      </c>
    </row>
    <row customHeight="1" ht="11.25" hidden="1">
      <c r="A43" s="2372"/>
      <c r="D43" s="1639"/>
      <c r="E43" s="547" t="str">
        <f>FHD_NUM_P_7</f>
        <v/>
      </c>
      <c r="F43" s="1525" t="str">
        <f>FHD_P_7</f>
        <v/>
      </c>
      <c r="G43" s="1879" t="s">
        <v>571</v>
      </c>
      <c r="H43" s="558"/>
      <c r="I43" s="558"/>
      <c r="J43" s="290" t="str">
        <f>FHD_NOTE_P_7</f>
        <v/>
      </c>
      <c r="K43" s="1637" t="str">
        <f>IF((LEN(E43)-LEN(SUBSTITUTE(E43,".","")))/LEN(".")=1,"p","")</f>
        <v/>
      </c>
      <c r="AF43" s="1632">
        <v>0</v>
      </c>
    </row>
    <row customHeight="1" ht="11.549999999999999">
      <c r="D44" s="1639"/>
      <c r="E44" s="547" t="str">
        <f>FHD_NUM_P_8</f>
        <v>2.3</v>
      </c>
      <c r="F44" s="1525" t="str">
        <f>FHD_P_8</f>
        <v>Расходы на приобретаемую электрическую энергию (мощность), используемую в технологическом процессе</v>
      </c>
      <c r="G44" s="1879" t="s">
        <v>571</v>
      </c>
      <c r="H44" s="558"/>
      <c r="I44" s="558"/>
      <c r="J44" s="290" t="str">
        <f>FHD_NOTE_P_8</f>
        <v/>
      </c>
      <c r="K44" s="1637" t="str">
        <f>IF((LEN(E44)-LEN(SUBSTITUTE(E44,".","")))/LEN(".")=1,"p","")</f>
        <v>p</v>
      </c>
      <c r="AF44" s="1632">
        <v>11</v>
      </c>
    </row>
    <row customHeight="1" ht="11.549999999999999">
      <c r="D45" s="1639"/>
      <c r="E45" s="547" t="str">
        <f>FHD_NUM_P_9</f>
        <v>2.3.1</v>
      </c>
      <c r="F45" s="1651" t="str">
        <f>FHD_P_9</f>
        <v>Средневзвешенная стоимость 1 кВт.ч (с учетом мощности)</v>
      </c>
      <c r="G45" s="1879" t="s">
        <v>590</v>
      </c>
      <c r="H45" s="558"/>
      <c r="I45" s="558"/>
      <c r="J45" s="290" t="str">
        <f>FHD_NOTE_P_9</f>
        <v/>
      </c>
      <c r="K45" s="1637" t="str">
        <f>IF((LEN(E45)-LEN(SUBSTITUTE(E45,".","")))/LEN(".")=1,"p","")</f>
        <v/>
      </c>
      <c r="AF45" s="1632">
        <v>11</v>
      </c>
    </row>
    <row s="1367" customFormat="1" customHeight="1" ht="11.549999999999999">
      <c r="A46" s="988"/>
      <c r="C46" s="1637"/>
      <c r="D46" s="575"/>
      <c r="E46" s="547" t="str">
        <f>FHD_NUM_P_10</f>
        <v>2.3.2</v>
      </c>
      <c r="F46" s="1651" t="str">
        <f>FHD_P_10</f>
        <v>Объём приобретения электрической энергии</v>
      </c>
      <c r="G46" s="1879" t="s">
        <v>591</v>
      </c>
      <c r="H46" s="558"/>
      <c r="I46" s="558"/>
      <c r="J46" s="290" t="str">
        <f>FHD_NOTE_P_10</f>
        <v/>
      </c>
      <c r="K46" s="1637" t="str">
        <f>IF((LEN(E46)-LEN(SUBSTITUTE(E46,".","")))/LEN(".")=1,"p","")</f>
        <v/>
      </c>
      <c r="L46" s="1637"/>
      <c r="M46" s="1637"/>
      <c r="R46" s="1637"/>
      <c r="U46" s="545"/>
      <c r="AA46" s="1633"/>
      <c r="AB46" s="1633"/>
      <c r="AC46" s="1633"/>
      <c r="AD46" s="1633"/>
      <c r="AE46" s="1633"/>
      <c r="AF46" s="1161">
        <v>11</v>
      </c>
    </row>
    <row s="1367" customFormat="1" customHeight="1" ht="11.25">
      <c r="A47" s="990" t="s">
        <v>592</v>
      </c>
      <c r="C47" s="1637"/>
      <c r="D47" s="576"/>
      <c r="E47" s="547" t="str">
        <f>FHD_NUM_P_11</f>
        <v>2.4</v>
      </c>
      <c r="F47" s="1525" t="str">
        <f>FHD_P_11</f>
        <v>Расходы на приобретение холодной воды, используемой в технологическом процессе</v>
      </c>
      <c r="G47" s="1879" t="s">
        <v>571</v>
      </c>
      <c r="H47" s="558"/>
      <c r="I47" s="558"/>
      <c r="J47" s="290" t="str">
        <f>FHD_NOTE_P_11</f>
        <v/>
      </c>
      <c r="K47" s="1637" t="str">
        <f>IF((LEN(E47)-LEN(SUBSTITUTE(E47,".","")))/LEN(".")=1,"p","")</f>
        <v>p</v>
      </c>
      <c r="L47" s="1637"/>
      <c r="M47" s="1637"/>
      <c r="R47" s="1637"/>
      <c r="U47" s="545"/>
      <c r="AA47" s="1633"/>
      <c r="AB47" s="1633"/>
      <c r="AC47" s="1633"/>
      <c r="AD47" s="1633"/>
      <c r="AE47" s="1633"/>
      <c r="AF47" s="1161">
        <v>0</v>
      </c>
    </row>
    <row s="1367" customFormat="1" customHeight="1" ht="18.75">
      <c r="A48" s="990" t="s">
        <v>593</v>
      </c>
      <c r="C48" s="1637"/>
      <c r="D48" s="1639"/>
      <c r="E48" s="547" t="str">
        <f>FHD_NUM_P_12</f>
        <v>2.5</v>
      </c>
      <c r="F48" s="1525" t="str">
        <f>FHD_P_12</f>
        <v>Расходы на  химические реагенты, используемые в технологическом процессе</v>
      </c>
      <c r="G48" s="1879" t="s">
        <v>571</v>
      </c>
      <c r="H48" s="578"/>
      <c r="I48" s="578"/>
      <c r="J48" s="290" t="str">
        <f>FHD_NOTE_P_12</f>
        <v/>
      </c>
      <c r="K48" s="1637" t="str">
        <f>IF((LEN(E48)-LEN(SUBSTITUTE(E48,".","")))/LEN(".")=1,"p","")</f>
        <v>p</v>
      </c>
      <c r="L48" s="1637"/>
      <c r="M48" s="1637"/>
      <c r="R48" s="1637"/>
      <c r="U48" s="545"/>
      <c r="AA48" s="1633"/>
      <c r="AB48" s="1633"/>
      <c r="AC48" s="1633"/>
      <c r="AD48" s="1633"/>
      <c r="AE48" s="1633"/>
      <c r="AF48" s="1161">
        <v>18</v>
      </c>
    </row>
    <row s="1366" customFormat="1" customHeight="1" ht="11.549999999999999">
      <c r="A49" s="989"/>
      <c r="C49" s="731"/>
      <c r="D49" s="674"/>
      <c r="E49" s="547" t="str">
        <f>FHD_NUM_P_13</f>
        <v>2.6</v>
      </c>
      <c r="F49" s="1525" t="str">
        <f>FHD_P_13</f>
        <v>Расходы на оплату труда и страховые взносы на обязательное социальное страхование, выплачиваемые из фонда оплаты труда основного производственного персонала, в том числе:</v>
      </c>
      <c r="G49" s="1879" t="s">
        <v>571</v>
      </c>
      <c r="H49" s="558"/>
      <c r="I49" s="558"/>
      <c r="J49" s="290" t="str">
        <f>FHD_NOTE_P_13</f>
        <v/>
      </c>
      <c r="K49" s="1637" t="str">
        <f>IF((LEN(E49)-LEN(SUBSTITUTE(E49,".","")))/LEN(".")=1,"p","")</f>
        <v>p</v>
      </c>
      <c r="L49" s="731"/>
      <c r="M49" s="731"/>
      <c r="R49" s="731"/>
      <c r="U49" s="732"/>
      <c r="AA49" s="733"/>
      <c r="AB49" s="733"/>
      <c r="AC49" s="733"/>
      <c r="AD49" s="733"/>
      <c r="AE49" s="733"/>
      <c r="AF49" s="730">
        <v>11</v>
      </c>
    </row>
    <row s="1366" customFormat="1" customHeight="1" ht="11.549999999999999">
      <c r="A50" s="989"/>
      <c r="C50" s="731"/>
      <c r="D50" s="674"/>
      <c r="E50" s="547" t="str">
        <f>FHD_NUM_P_14</f>
        <v>2.6.1</v>
      </c>
      <c r="F50" s="1651" t="str">
        <f>FHD_P_14</f>
        <v>Расходы на оплату труда основного производственного персонала</v>
      </c>
      <c r="G50" s="1879" t="s">
        <v>571</v>
      </c>
      <c r="H50" s="558"/>
      <c r="I50" s="558"/>
      <c r="J50" s="290" t="str">
        <f>FHD_NOTE_P_14</f>
        <v/>
      </c>
      <c r="K50" s="1637" t="str">
        <f>IF((LEN(E50)-LEN(SUBSTITUTE(E50,".","")))/LEN(".")=1,"p","")</f>
        <v/>
      </c>
      <c r="L50" s="731"/>
      <c r="M50" s="731"/>
      <c r="R50" s="731"/>
      <c r="U50" s="732"/>
      <c r="AA50" s="733"/>
      <c r="AB50" s="733"/>
      <c r="AC50" s="733"/>
      <c r="AD50" s="733"/>
      <c r="AE50" s="733"/>
      <c r="AF50" s="730">
        <v>11</v>
      </c>
    </row>
    <row s="1366" customFormat="1" customHeight="1" ht="11.549999999999999">
      <c r="A51" s="989"/>
      <c r="C51" s="731"/>
      <c r="D51" s="674"/>
      <c r="E51" s="547" t="str">
        <f>FHD_NUM_P_15</f>
        <v>2.6.2</v>
      </c>
      <c r="F51" s="1651" t="str">
        <f>FHD_P_15</f>
        <v>Страховые взносы на обязательное социальное страхование, выплачиваемые из фонда оплаты труда основного производственного персонала</v>
      </c>
      <c r="G51" s="1879" t="s">
        <v>571</v>
      </c>
      <c r="H51" s="558"/>
      <c r="I51" s="558"/>
      <c r="J51" s="290" t="str">
        <f>FHD_NOTE_P_15</f>
        <v/>
      </c>
      <c r="K51" s="1637" t="str">
        <f>IF((LEN(E51)-LEN(SUBSTITUTE(E51,".","")))/LEN(".")=1,"p","")</f>
        <v/>
      </c>
      <c r="L51" s="731"/>
      <c r="M51" s="731"/>
      <c r="R51" s="731"/>
      <c r="U51" s="732"/>
      <c r="AA51" s="733"/>
      <c r="AB51" s="733"/>
      <c r="AC51" s="733"/>
      <c r="AD51" s="733"/>
      <c r="AE51" s="733"/>
      <c r="AF51" s="730">
        <v>11</v>
      </c>
    </row>
    <row s="1367" customFormat="1" customHeight="1" ht="11.549999999999999">
      <c r="A52" s="988"/>
      <c r="C52" s="1637"/>
      <c r="D52" s="1639"/>
      <c r="E52" s="547" t="str">
        <f>FHD_NUM_P_16</f>
        <v>2.7</v>
      </c>
      <c r="F52" s="1525" t="str">
        <f>FHD_P_16</f>
        <v>Расходы на оплату труда и страховые взносы на обязательное социальное страхование, выплачиваемые из фонда оплаты труда административно-управленческого персонала, в том числе:</v>
      </c>
      <c r="G52" s="1879" t="s">
        <v>571</v>
      </c>
      <c r="H52" s="558"/>
      <c r="I52" s="558"/>
      <c r="J52" s="290" t="str">
        <f>FHD_NOTE_P_16</f>
        <v/>
      </c>
      <c r="K52" s="1637" t="str">
        <f>IF((LEN(E52)-LEN(SUBSTITUTE(E52,".","")))/LEN(".")=1,"p","")</f>
        <v>p</v>
      </c>
      <c r="L52" s="1637"/>
      <c r="M52" s="1643"/>
      <c r="N52" s="538"/>
      <c r="O52" s="538"/>
      <c r="R52" s="1637"/>
      <c r="U52" s="545"/>
      <c r="AA52" s="1633"/>
      <c r="AB52" s="1633"/>
      <c r="AC52" s="1633"/>
      <c r="AD52" s="1633"/>
      <c r="AE52" s="1633"/>
      <c r="AF52" s="1161">
        <v>11</v>
      </c>
    </row>
    <row s="1367" customFormat="1" customHeight="1" ht="11.549999999999999">
      <c r="A53" s="988"/>
      <c r="C53" s="1637"/>
      <c r="D53" s="1639"/>
      <c r="E53" s="547" t="str">
        <f>FHD_NUM_P_17</f>
        <v>2.7.1</v>
      </c>
      <c r="F53" s="1651" t="str">
        <f>FHD_P_17</f>
        <v>Расходы на оплату труда административно-управленческого персонала</v>
      </c>
      <c r="G53" s="1879" t="s">
        <v>571</v>
      </c>
      <c r="H53" s="558"/>
      <c r="I53" s="558"/>
      <c r="J53" s="290" t="str">
        <f>FHD_NOTE_P_17</f>
        <v/>
      </c>
      <c r="K53" s="1637" t="str">
        <f>IF((LEN(E53)-LEN(SUBSTITUTE(E53,".","")))/LEN(".")=1,"p","")</f>
        <v/>
      </c>
      <c r="L53" s="1637"/>
      <c r="M53" s="1643"/>
      <c r="N53" s="538"/>
      <c r="O53" s="538"/>
      <c r="R53" s="1637"/>
      <c r="U53" s="545"/>
      <c r="AA53" s="1633"/>
      <c r="AB53" s="1633"/>
      <c r="AC53" s="1633"/>
      <c r="AD53" s="1633"/>
      <c r="AE53" s="1633"/>
      <c r="AF53" s="1161">
        <v>11</v>
      </c>
    </row>
    <row s="1367" customFormat="1" customHeight="1" ht="11.549999999999999">
      <c r="A54" s="988"/>
      <c r="C54" s="1637"/>
      <c r="D54" s="1639"/>
      <c r="E54" s="547" t="str">
        <f>FHD_NUM_P_18</f>
        <v>2.7.2</v>
      </c>
      <c r="F54" s="1651" t="str">
        <f>FHD_P_18</f>
        <v>Страховые взносы на обязательное социальное страхование, выплачиваемые из фонда оплаты труда административно-управленческого персонала</v>
      </c>
      <c r="G54" s="1879" t="s">
        <v>571</v>
      </c>
      <c r="H54" s="558"/>
      <c r="I54" s="558"/>
      <c r="J54" s="290" t="str">
        <f>FHD_NOTE_P_18</f>
        <v/>
      </c>
      <c r="K54" s="1637" t="str">
        <f>IF((LEN(E54)-LEN(SUBSTITUTE(E54,".","")))/LEN(".")=1,"p","")</f>
        <v/>
      </c>
      <c r="L54" s="1637"/>
      <c r="M54" s="1643"/>
      <c r="N54" s="538"/>
      <c r="O54" s="538"/>
      <c r="R54" s="1637"/>
      <c r="U54" s="545"/>
      <c r="AA54" s="1633"/>
      <c r="AB54" s="1633"/>
      <c r="AC54" s="1633"/>
      <c r="AD54" s="1633"/>
      <c r="AE54" s="1633"/>
      <c r="AF54" s="1161">
        <v>11</v>
      </c>
    </row>
    <row s="1367" customFormat="1" customHeight="1" ht="11.549999999999999">
      <c r="A55" s="988"/>
      <c r="C55" s="1637"/>
      <c r="D55" s="576"/>
      <c r="E55" s="547" t="str">
        <f>FHD_NUM_P_19</f>
        <v>2.8</v>
      </c>
      <c r="F55" s="1525" t="str">
        <f>FHD_P_19</f>
        <v>Расходы на амортизацию основных средств и нематериальных активов</v>
      </c>
      <c r="G55" s="1879" t="s">
        <v>571</v>
      </c>
      <c r="H55" s="558"/>
      <c r="I55" s="558"/>
      <c r="J55" s="290" t="str">
        <f>FHD_NOTE_P_19</f>
        <v/>
      </c>
      <c r="K55" s="1637" t="str">
        <f>IF((LEN(E55)-LEN(SUBSTITUTE(E55,".","")))/LEN(".")=1,"p","")</f>
        <v>p</v>
      </c>
      <c r="L55" s="1637"/>
      <c r="M55" s="1637"/>
      <c r="R55" s="1637"/>
      <c r="U55" s="545"/>
      <c r="AA55" s="1633"/>
      <c r="AB55" s="1633"/>
      <c r="AC55" s="1633"/>
      <c r="AD55" s="1633"/>
      <c r="AE55" s="1633"/>
      <c r="AF55" s="1161">
        <v>11</v>
      </c>
    </row>
    <row s="1367" customFormat="1" customHeight="1" ht="11.549999999999999">
      <c r="A56" s="988"/>
      <c r="C56" s="1637"/>
      <c r="D56" s="576"/>
      <c r="E56" s="547" t="str">
        <f>FHD_NUM_P_20</f>
        <v>2.8.1</v>
      </c>
      <c r="F56" s="1651" t="str">
        <f>FHD_P_20</f>
        <v>Расходы на амортизацию основных средств</v>
      </c>
      <c r="G56" s="1879" t="s">
        <v>571</v>
      </c>
      <c r="H56" s="558"/>
      <c r="I56" s="558"/>
      <c r="J56" s="290" t="str">
        <f>FHD_NOTE_P_20</f>
        <v/>
      </c>
      <c r="K56" s="1637" t="str">
        <f>IF((LEN(E56)-LEN(SUBSTITUTE(E56,".","")))/LEN(".")=1,"p","")</f>
        <v/>
      </c>
      <c r="L56" s="1637"/>
      <c r="M56" s="1637"/>
      <c r="R56" s="1637"/>
      <c r="U56" s="545"/>
      <c r="AA56" s="1633"/>
      <c r="AB56" s="1633"/>
      <c r="AC56" s="1633"/>
      <c r="AD56" s="1633"/>
      <c r="AE56" s="1633"/>
      <c r="AF56" s="1161">
        <v>11</v>
      </c>
    </row>
    <row s="1367" customFormat="1" customHeight="1" ht="11.549999999999999">
      <c r="A57" s="988"/>
      <c r="C57" s="1637"/>
      <c r="D57" s="576"/>
      <c r="E57" s="547" t="str">
        <f>FHD_NUM_P_21</f>
        <v>2.8.2</v>
      </c>
      <c r="F57" s="1651" t="str">
        <f>FHD_P_21</f>
        <v>Расходы на амортизацию нематериальных активов</v>
      </c>
      <c r="G57" s="1879" t="s">
        <v>571</v>
      </c>
      <c r="H57" s="558"/>
      <c r="I57" s="558"/>
      <c r="J57" s="290" t="str">
        <f>FHD_NOTE_P_21</f>
        <v/>
      </c>
      <c r="K57" s="1637" t="str">
        <f>IF((LEN(E57)-LEN(SUBSTITUTE(E57,".","")))/LEN(".")=1,"p","")</f>
        <v/>
      </c>
      <c r="L57" s="1637"/>
      <c r="M57" s="1637"/>
      <c r="R57" s="1637"/>
      <c r="U57" s="545"/>
      <c r="AA57" s="1633"/>
      <c r="AB57" s="1633"/>
      <c r="AC57" s="1633"/>
      <c r="AD57" s="1633"/>
      <c r="AE57" s="1633"/>
      <c r="AF57" s="1161">
        <v>11</v>
      </c>
    </row>
    <row s="1367" customFormat="1" customHeight="1" ht="11.549999999999999">
      <c r="A58" s="988"/>
      <c r="C58" s="1637"/>
      <c r="D58" s="1639"/>
      <c r="E58" s="547" t="str">
        <f>FHD_NUM_P_22</f>
        <v>2.9</v>
      </c>
      <c r="F58" s="1525" t="str">
        <f>FHD_P_22</f>
        <v>Расходы на аренду имущества, используемого для осуществления регулируемого вида деятельности</v>
      </c>
      <c r="G58" s="1879" t="s">
        <v>571</v>
      </c>
      <c r="H58" s="558"/>
      <c r="I58" s="558"/>
      <c r="J58" s="290" t="str">
        <f>FHD_NOTE_P_22</f>
        <v/>
      </c>
      <c r="K58" s="1637" t="str">
        <f>IF((LEN(E58)-LEN(SUBSTITUTE(E58,".","")))/LEN(".")=1,"p","")</f>
        <v>p</v>
      </c>
      <c r="L58" s="1637"/>
      <c r="M58" s="1637"/>
      <c r="R58" s="1637"/>
      <c r="U58" s="545"/>
      <c r="AA58" s="1633"/>
      <c r="AB58" s="1633"/>
      <c r="AC58" s="1633"/>
      <c r="AD58" s="1633"/>
      <c r="AE58" s="1633"/>
      <c r="AF58" s="1161">
        <v>11</v>
      </c>
    </row>
    <row s="1367" customFormat="1" customHeight="1" ht="11.549999999999999">
      <c r="A59" s="988"/>
      <c r="C59" s="1637"/>
      <c r="D59" s="576"/>
      <c r="E59" s="547" t="str">
        <f>FHD_NUM_P_23</f>
        <v>2.10</v>
      </c>
      <c r="F59" s="1525" t="str">
        <f>FHD_P_23</f>
        <v>Общепроизводственные расходы, в том числе:</v>
      </c>
      <c r="G59" s="1879" t="s">
        <v>571</v>
      </c>
      <c r="H59" s="558"/>
      <c r="I59" s="558"/>
      <c r="J59" s="290" t="str">
        <f>FHD_NOTE_P_23</f>
        <v>Указывается общая сумма общепроизводственных расходов.</v>
      </c>
      <c r="K59" s="1637" t="str">
        <f>IF((LEN(E59)-LEN(SUBSTITUTE(E59,".","")))/LEN(".")=1,"p","")</f>
        <v>p</v>
      </c>
      <c r="L59" s="1637"/>
      <c r="M59" s="1637"/>
      <c r="R59" s="1637"/>
      <c r="U59" s="545"/>
      <c r="AA59" s="1633"/>
      <c r="AB59" s="1633"/>
      <c r="AC59" s="1633"/>
      <c r="AD59" s="1633"/>
      <c r="AE59" s="1633"/>
      <c r="AF59" s="1161">
        <v>11</v>
      </c>
    </row>
    <row s="1367" customFormat="1" customHeight="1" ht="11.549999999999999">
      <c r="A60" s="988"/>
      <c r="C60" s="1637"/>
      <c r="D60" s="576"/>
      <c r="E60" s="547" t="str">
        <f>FHD_NUM_P_24</f>
        <v>2.10.1</v>
      </c>
      <c r="F60" s="1651" t="str">
        <f>FHD_P_24</f>
        <v>Расходы на текущий ремонт</v>
      </c>
      <c r="G60" s="1879" t="s">
        <v>571</v>
      </c>
      <c r="H60" s="558"/>
      <c r="I60" s="558"/>
      <c r="J60" s="290" t="str">
        <f>FHD_NOTE_P_24</f>
        <v>Указываются расходы на текущий ремонт, отнесенные к общепроизводственным расходам.</v>
      </c>
      <c r="K60" s="1637" t="str">
        <f>IF((LEN(E60)-LEN(SUBSTITUTE(E60,".","")))/LEN(".")=1,"p","")</f>
        <v/>
      </c>
      <c r="L60" s="1637"/>
      <c r="M60" s="1637"/>
      <c r="R60" s="1637"/>
      <c r="U60" s="545"/>
      <c r="AA60" s="1633"/>
      <c r="AB60" s="1633"/>
      <c r="AC60" s="1633"/>
      <c r="AD60" s="1633"/>
      <c r="AE60" s="1633"/>
      <c r="AF60" s="1161">
        <v>11</v>
      </c>
    </row>
    <row s="1367" customFormat="1" customHeight="1" ht="11.549999999999999">
      <c r="A61" s="988"/>
      <c r="C61" s="1637"/>
      <c r="D61" s="576"/>
      <c r="E61" s="547" t="str">
        <f>FHD_NUM_P_25</f>
        <v>2.10.2</v>
      </c>
      <c r="F61" s="1651" t="str">
        <f>FHD_P_25</f>
        <v>Расходы на капитальный ремонт</v>
      </c>
      <c r="G61" s="1879" t="s">
        <v>571</v>
      </c>
      <c r="H61" s="558"/>
      <c r="I61" s="558"/>
      <c r="J61" s="290" t="str">
        <f>FHD_NOTE_P_25</f>
        <v>Указываются расходы на капитальный ремонт, отнесенные к общепроизводственным расходам.</v>
      </c>
      <c r="K61" s="1637" t="str">
        <f>IF((LEN(E61)-LEN(SUBSTITUTE(E61,".","")))/LEN(".")=1,"p","")</f>
        <v/>
      </c>
      <c r="L61" s="1637"/>
      <c r="M61" s="1637"/>
      <c r="R61" s="1637"/>
      <c r="U61" s="545"/>
      <c r="AA61" s="1633"/>
      <c r="AB61" s="1633"/>
      <c r="AC61" s="1633"/>
      <c r="AD61" s="1633"/>
      <c r="AE61" s="1633"/>
      <c r="AF61" s="1161">
        <v>11</v>
      </c>
    </row>
    <row s="1367" customFormat="1" customHeight="1" ht="11.549999999999999">
      <c r="A62" s="988"/>
      <c r="C62" s="1637"/>
      <c r="D62" s="1639"/>
      <c r="E62" s="547" t="str">
        <f>FHD_NUM_P_26</f>
        <v>2.11</v>
      </c>
      <c r="F62" s="1525" t="str">
        <f>FHD_P_26</f>
        <v>Общехозяйственные расходы, в том числе:</v>
      </c>
      <c r="G62" s="1879" t="s">
        <v>571</v>
      </c>
      <c r="H62" s="558"/>
      <c r="I62" s="558"/>
      <c r="J62" s="290" t="str">
        <f>FHD_NOTE_P_26</f>
        <v>Указывается общая сумма общехозяйственных расходов.</v>
      </c>
      <c r="K62" s="1637" t="str">
        <f>IF((LEN(E62)-LEN(SUBSTITUTE(E62,".","")))/LEN(".")=1,"p","")</f>
        <v>p</v>
      </c>
      <c r="L62" s="1637"/>
      <c r="M62" s="1637"/>
      <c r="R62" s="1637"/>
      <c r="U62" s="545"/>
      <c r="AA62" s="1633"/>
      <c r="AB62" s="1633"/>
      <c r="AC62" s="1633"/>
      <c r="AD62" s="1633"/>
      <c r="AE62" s="1633"/>
      <c r="AF62" s="1161">
        <v>11</v>
      </c>
    </row>
    <row s="1367" customFormat="1" customHeight="1" ht="11.549999999999999">
      <c r="A63" s="988"/>
      <c r="C63" s="1637"/>
      <c r="D63" s="1639"/>
      <c r="E63" s="547" t="str">
        <f>FHD_NUM_P_27</f>
        <v>2.11.1</v>
      </c>
      <c r="F63" s="1651" t="str">
        <f>FHD_P_27</f>
        <v>Расходы на текущий ремонт</v>
      </c>
      <c r="G63" s="1879" t="s">
        <v>571</v>
      </c>
      <c r="H63" s="558"/>
      <c r="I63" s="558"/>
      <c r="J63" s="290" t="str">
        <f>FHD_NOTE_P_27</f>
        <v>Указываются расходы на текущий ремонт, отнесенные к общехозяйственным расходам.</v>
      </c>
      <c r="K63" s="1637" t="str">
        <f>IF((LEN(E63)-LEN(SUBSTITUTE(E63,".","")))/LEN(".")=1,"p","")</f>
        <v/>
      </c>
      <c r="L63" s="1637"/>
      <c r="M63" s="1637"/>
      <c r="R63" s="1637"/>
      <c r="U63" s="545"/>
      <c r="AA63" s="1633"/>
      <c r="AB63" s="1633"/>
      <c r="AC63" s="1633"/>
      <c r="AD63" s="1633"/>
      <c r="AE63" s="1633"/>
      <c r="AF63" s="1161">
        <v>11</v>
      </c>
    </row>
    <row s="1367" customFormat="1" customHeight="1" ht="11.549999999999999">
      <c r="A64" s="988"/>
      <c r="C64" s="1637"/>
      <c r="D64" s="1639"/>
      <c r="E64" s="547" t="str">
        <f>FHD_NUM_P_28</f>
        <v>2.11.2</v>
      </c>
      <c r="F64" s="1651" t="str">
        <f>FHD_P_28</f>
        <v>Расходы на капитальный ремонт</v>
      </c>
      <c r="G64" s="1879" t="s">
        <v>571</v>
      </c>
      <c r="H64" s="558"/>
      <c r="I64" s="558"/>
      <c r="J64" s="290" t="str">
        <f>FHD_NOTE_P_28</f>
        <v>Указываются расходы на капитальный ремонт, отнесенные к общехозяйственным расходам.</v>
      </c>
      <c r="K64" s="1637" t="str">
        <f>IF((LEN(E64)-LEN(SUBSTITUTE(E64,".","")))/LEN(".")=1,"p","")</f>
        <v/>
      </c>
      <c r="L64" s="1637"/>
      <c r="M64" s="1637"/>
      <c r="R64" s="1637"/>
      <c r="U64" s="545"/>
      <c r="AA64" s="1633"/>
      <c r="AB64" s="1633"/>
      <c r="AC64" s="1633"/>
      <c r="AD64" s="1633"/>
      <c r="AE64" s="1633"/>
      <c r="AF64" s="1161">
        <v>11</v>
      </c>
    </row>
    <row s="1367" customFormat="1" customHeight="1" ht="11.549999999999999">
      <c r="A65" s="988"/>
      <c r="C65" s="1637"/>
      <c r="D65" s="1639"/>
      <c r="E65" s="547" t="str">
        <f>FHD_NUM_P_29</f>
        <v>2.12</v>
      </c>
      <c r="F65" s="1525" t="str">
        <f>FHD_P_29</f>
        <v>Расходы на капитальный и текущий ремонт основных средств</v>
      </c>
      <c r="G65" s="1879" t="s">
        <v>571</v>
      </c>
      <c r="H65" s="558"/>
      <c r="I65" s="558"/>
      <c r="J65" s="290" t="str">
        <f>FHD_NOTE_P_29</f>
        <v>Указывается информация об объемах товаров и услуг, их стоимости и о способах приобретения у тех организаций, сумма оплаты услуг которых превышает 20 процентов суммы расходов по указанной статье расходов</v>
      </c>
      <c r="K65" s="1637" t="str">
        <f>IF((LEN(E65)-LEN(SUBSTITUTE(E65,".","")))/LEN(".")=1,"p","")</f>
        <v>p</v>
      </c>
      <c r="L65" s="1637"/>
      <c r="M65" s="1637"/>
      <c r="R65" s="1637"/>
      <c r="U65" s="545"/>
      <c r="AA65" s="1633"/>
      <c r="AB65" s="1633"/>
      <c r="AC65" s="1633"/>
      <c r="AD65" s="1633"/>
      <c r="AE65" s="1633"/>
      <c r="AF65" s="1161">
        <v>11</v>
      </c>
    </row>
    <row s="1367" customFormat="1" customHeight="1" ht="11.549999999999999">
      <c r="A66" s="988"/>
      <c r="C66" s="1637"/>
      <c r="D66" s="1639"/>
      <c r="E66" s="547" t="str">
        <f>FHD_NUM_P_30</f>
        <v>2.12.1</v>
      </c>
      <c r="F66" s="1651" t="str">
        <f>FHD_P_30</f>
        <v>Информация об объемах товаров и услуг, их стоимости и способах приобретения у тех организаций, сумма оплаты услуг которых превышает 20 процентов суммы расходов по указанной статье расходов</v>
      </c>
      <c r="G66" s="1879" t="s">
        <v>323</v>
      </c>
      <c r="H66" s="1650" t="s">
        <v>594</v>
      </c>
      <c r="I66" s="1650" t="s">
        <v>594</v>
      </c>
      <c r="J66" s="290" t="str">
        <f>FHD_NOTE_P_30</f>
        <v/>
      </c>
      <c r="K66" s="1637" t="str">
        <f>IF((LEN(E66)-LEN(SUBSTITUTE(E66,".","")))/LEN(".")=1,"p","")</f>
        <v/>
      </c>
      <c r="L66" s="1637">
        <f>_xlfn.IFERROR(MATCH("есть",B_FHD_FLAG_INDEX_1,0),0)</f>
        <v>0</v>
      </c>
      <c r="M66" s="1637"/>
      <c r="R66" s="1637"/>
      <c r="U66" s="545"/>
      <c r="AA66" s="1633"/>
      <c r="AB66" s="1633"/>
      <c r="AC66" s="1633"/>
      <c r="AD66" s="1633"/>
      <c r="AE66" s="1633"/>
      <c r="AF66" s="1161">
        <v>11</v>
      </c>
    </row>
    <row s="1367" customFormat="1" customHeight="1" ht="23.25" hidden="1">
      <c r="A67" s="2372" t="s">
        <v>595</v>
      </c>
      <c r="C67" s="1637"/>
      <c r="D67" s="1639"/>
      <c r="E67" s="547" t="str">
        <f>FHD_NUM_P_31</f>
        <v/>
      </c>
      <c r="F67" s="1525" t="str">
        <f>FHD_P_31</f>
        <v/>
      </c>
      <c r="G67" s="1879" t="s">
        <v>571</v>
      </c>
      <c r="H67" s="558"/>
      <c r="I67" s="558"/>
      <c r="J67" s="290" t="str">
        <f>FHD_NOTE_P_31</f>
        <v/>
      </c>
      <c r="K67" s="1637" t="str">
        <f>IF((LEN(E67)-LEN(SUBSTITUTE(E67,".","")))/LEN(".")=1,"p","")</f>
        <v/>
      </c>
      <c r="L67" s="1637"/>
      <c r="M67" s="1637"/>
      <c r="R67" s="1637"/>
      <c r="U67" s="545"/>
      <c r="AA67" s="1633"/>
      <c r="AB67" s="1633"/>
      <c r="AC67" s="1633"/>
      <c r="AD67" s="1633"/>
      <c r="AE67" s="1633"/>
      <c r="AF67" s="1161">
        <v>22</v>
      </c>
    </row>
    <row s="1367" customFormat="1" customHeight="1" ht="47.25" hidden="1">
      <c r="A68" s="2372"/>
      <c r="C68" s="1637"/>
      <c r="D68" s="1639"/>
      <c r="E68" s="547" t="str">
        <f>FHD_NUM_P_32</f>
        <v/>
      </c>
      <c r="F68" s="1651" t="str">
        <f>FHD_P_32</f>
        <v/>
      </c>
      <c r="G68" s="1879" t="s">
        <v>323</v>
      </c>
      <c r="H68" s="1650" t="s">
        <v>594</v>
      </c>
      <c r="I68" s="1650" t="s">
        <v>594</v>
      </c>
      <c r="J68" s="290" t="str">
        <f>FHD_NOTE_P_32</f>
        <v/>
      </c>
      <c r="K68" s="1637" t="str">
        <f>IF((LEN(E68)-LEN(SUBSTITUTE(E68,".","")))/LEN(".")=1,"p","")</f>
        <v/>
      </c>
      <c r="L68" s="1637">
        <f>_xlfn.IFERROR(MATCH("есть",B_FHD_FLAG_INDEX_2,0),0)</f>
        <v>0</v>
      </c>
      <c r="M68" s="1637"/>
      <c r="R68" s="1637"/>
      <c r="U68" s="545"/>
      <c r="AA68" s="1633"/>
      <c r="AB68" s="1633"/>
      <c r="AC68" s="1633"/>
      <c r="AD68" s="1633"/>
      <c r="AE68" s="1633"/>
      <c r="AF68" s="1161">
        <v>45</v>
      </c>
    </row>
    <row s="1367" customFormat="1" customHeight="1" ht="11.549999999999999">
      <c r="A69" s="988"/>
      <c r="C69" s="1637"/>
      <c r="D69" s="1639"/>
      <c r="E69" s="547" t="str">
        <f>FHD_NUM_P_33</f>
        <v>2.13</v>
      </c>
      <c r="F69" s="1525" t="str">
        <f>FHD_P_33</f>
        <v>Прочие расходы, которые подлежат отнесению на регулируемые виды деятельности в соответствии с законодательством Российской Федерации</v>
      </c>
      <c r="G69" s="1880" t="s">
        <v>571</v>
      </c>
      <c r="H69" s="580">
        <f>SUM(H70:H71)</f>
        <v>0</v>
      </c>
      <c r="I69" s="580">
        <f>SUM(I70:I71)</f>
        <v>0</v>
      </c>
      <c r="J69" s="290" t="str">
        <f>FHD_NOTE_P_33</f>
        <v>Указывается общая сумма прочих расходов, которые подлежат отнесению на регулируемые виды деятельности в соответствии с законодательством в сфере теплоснабжения.</v>
      </c>
      <c r="K69" s="1637" t="str">
        <f>IF((LEN(E69)-LEN(SUBSTITUTE(E69,".","")))/LEN(".")=1,"p","")</f>
        <v>p</v>
      </c>
      <c r="L69" s="1637"/>
      <c r="M69" s="1637"/>
      <c r="R69" s="1637"/>
      <c r="U69" s="545"/>
      <c r="AA69" s="1633"/>
      <c r="AB69" s="1633"/>
      <c r="AC69" s="1633"/>
      <c r="AD69" s="1633"/>
      <c r="AE69" s="1633"/>
      <c r="AF69" s="1161">
        <v>11</v>
      </c>
    </row>
    <row s="1643" customFormat="1" customHeight="1" ht="1.05">
      <c r="A70" s="1168"/>
      <c r="D70" s="549"/>
      <c r="E70" s="1014" t="str">
        <f>E69&amp;".0"</f>
        <v>2.13.0</v>
      </c>
      <c r="F70" s="992"/>
      <c r="G70" s="1014"/>
      <c r="H70" s="993"/>
      <c r="I70" s="993"/>
      <c r="J70" s="994"/>
      <c r="K70" s="1637" t="str">
        <f>IF((LEN(E70)-LEN(SUBSTITUTE(E70,".","")))/LEN(".")=1,"p","")</f>
        <v/>
      </c>
      <c r="AF70" s="1637">
        <v>1</v>
      </c>
    </row>
    <row s="1367" customFormat="1" customHeight="1" ht="14.699999999999998">
      <c r="A71" s="988"/>
      <c r="C71" s="1637"/>
      <c r="D71" s="1634"/>
      <c r="E71" s="571"/>
      <c r="F71" s="572" t="s">
        <v>596</v>
      </c>
      <c r="G71" s="573"/>
      <c r="H71" s="574"/>
      <c r="I71" s="574"/>
      <c r="J71" s="302"/>
      <c r="K71" s="1637"/>
      <c r="L71" s="1637"/>
      <c r="M71" s="1637"/>
      <c r="R71" s="1637"/>
      <c r="U71" s="545"/>
      <c r="AA71" s="1633"/>
      <c r="AB71" s="1633"/>
      <c r="AC71" s="1633"/>
      <c r="AD71" s="1633"/>
      <c r="AE71" s="1633"/>
      <c r="AF71" s="1161">
        <v>14</v>
      </c>
    </row>
    <row s="1367" customFormat="1" customHeight="1" ht="18.75">
      <c r="A72" s="990" t="s">
        <v>597</v>
      </c>
      <c r="C72" s="1637"/>
      <c r="D72" s="1639"/>
      <c r="E72" s="547" t="str">
        <f>FHD_NUM_P_34</f>
        <v>3</v>
      </c>
      <c r="F72" s="1881" t="str">
        <f>FHD_P_34</f>
        <v>Валовая прибыль (убытки) от реализации товаров и оказания услуг по регулируемому виду деятельности</v>
      </c>
      <c r="G72" s="1879" t="s">
        <v>571</v>
      </c>
      <c r="H72" s="558"/>
      <c r="I72" s="558"/>
      <c r="J72" s="290" t="str">
        <f>FHD_NOTE_P_34</f>
        <v/>
      </c>
      <c r="K72" s="544"/>
      <c r="L72" s="1637"/>
      <c r="M72" s="1637"/>
      <c r="R72" s="1637"/>
      <c r="U72" s="545"/>
      <c r="AA72" s="1633"/>
      <c r="AB72" s="1633"/>
      <c r="AC72" s="1633"/>
      <c r="AD72" s="1633"/>
      <c r="AE72" s="1633"/>
      <c r="AF72" s="1161">
        <v>0</v>
      </c>
    </row>
    <row s="1367" customFormat="1" customHeight="1" ht="19.95">
      <c r="A73" s="988"/>
      <c r="C73" s="1637"/>
      <c r="D73" s="576"/>
      <c r="E73" s="547" t="str">
        <f>FHD_NUM_P_35</f>
        <v>4</v>
      </c>
      <c r="F73" s="1881" t="str">
        <f>FHD_P_35</f>
        <v>Чистая прибыль, полученная от регулируемого вида деятельности, в том числе:</v>
      </c>
      <c r="G73" s="1879" t="s">
        <v>571</v>
      </c>
      <c r="H73" s="558"/>
      <c r="I73" s="558"/>
      <c r="J73" s="290" t="str">
        <f>FHD_NOTE_P_35</f>
        <v>Указывается общая сумма чистой прибыли, полученной от регулируемого вида деятельности.</v>
      </c>
      <c r="K73" s="544"/>
      <c r="L73" s="1637"/>
      <c r="M73" s="1637"/>
      <c r="R73" s="1637"/>
      <c r="U73" s="545"/>
      <c r="AA73" s="1633"/>
      <c r="AB73" s="1633"/>
      <c r="AC73" s="1633"/>
      <c r="AD73" s="1633"/>
      <c r="AE73" s="1633"/>
      <c r="AF73" s="1161">
        <v>19</v>
      </c>
    </row>
    <row s="1367" customFormat="1" customHeight="1" ht="19.95">
      <c r="A74" s="988"/>
      <c r="C74" s="1637"/>
      <c r="D74" s="1639"/>
      <c r="E74" s="547" t="str">
        <f>FHD_NUM_P_36</f>
        <v>4.1</v>
      </c>
      <c r="F74" s="1525" t="str">
        <f>FHD_P_36</f>
        <v>Размер расходования чистой прибыли на финансирование мероприятий, предусмотренных инвестиционной программой регулируемой организации</v>
      </c>
      <c r="G74" s="1879" t="s">
        <v>571</v>
      </c>
      <c r="H74" s="558"/>
      <c r="I74" s="558"/>
      <c r="J74" s="290" t="str">
        <f>FHD_NOTE_P_36</f>
        <v/>
      </c>
      <c r="K74" s="544"/>
      <c r="L74" s="1637"/>
      <c r="M74" s="1637"/>
      <c r="R74" s="1637"/>
      <c r="U74" s="545"/>
      <c r="AA74" s="1633"/>
      <c r="AB74" s="1633"/>
      <c r="AC74" s="1633"/>
      <c r="AD74" s="1633"/>
      <c r="AE74" s="1633"/>
      <c r="AF74" s="1161">
        <v>19</v>
      </c>
    </row>
    <row s="1367" customFormat="1" customHeight="1" ht="19.95">
      <c r="A75" s="988"/>
      <c r="C75" s="1637"/>
      <c r="D75" s="1639"/>
      <c r="E75" s="547" t="str">
        <f>FHD_NUM_P_37</f>
        <v>5</v>
      </c>
      <c r="F75" s="1881" t="str">
        <f>FHD_P_37</f>
        <v>Изменение стоимости основных фондов, в том числе:</v>
      </c>
      <c r="G75" s="1879" t="s">
        <v>571</v>
      </c>
      <c r="H75" s="558"/>
      <c r="I75" s="558"/>
      <c r="J75" s="290" t="str">
        <f>FHD_NOTE_P_37</f>
        <v>Указывается общее изменение стоимости основных фондов.</v>
      </c>
      <c r="K75" s="544"/>
      <c r="L75" s="1637"/>
      <c r="M75" s="1637"/>
      <c r="R75" s="1637"/>
      <c r="U75" s="545"/>
      <c r="AA75" s="1633"/>
      <c r="AB75" s="1633"/>
      <c r="AC75" s="1633"/>
      <c r="AD75" s="1633"/>
      <c r="AE75" s="1633"/>
      <c r="AF75" s="1161">
        <v>19</v>
      </c>
    </row>
    <row s="1367" customFormat="1" customHeight="1" ht="19.95">
      <c r="A76" s="988"/>
      <c r="C76" s="1637"/>
      <c r="D76" s="1639"/>
      <c r="E76" s="547" t="str">
        <f>FHD_NUM_P_38</f>
        <v>5.1</v>
      </c>
      <c r="F76" s="1525" t="str">
        <f>FHD_P_38</f>
        <v>Изменение стоимости основных фондов за счет:</v>
      </c>
      <c r="G76" s="1879" t="s">
        <v>571</v>
      </c>
      <c r="H76" s="558"/>
      <c r="I76" s="558"/>
      <c r="J76" s="290" t="str">
        <f>FHD_NOTE_P_38</f>
        <v>Указываются общее изменение стоимости основных фондов за счет их ввода в эксплуатацию и вывода из эксплуатации.</v>
      </c>
      <c r="K76" s="544"/>
      <c r="L76" s="1637"/>
      <c r="M76" s="1637"/>
      <c r="R76" s="1637"/>
      <c r="U76" s="545"/>
      <c r="AA76" s="1633"/>
      <c r="AB76" s="1633"/>
      <c r="AC76" s="1633"/>
      <c r="AD76" s="1633"/>
      <c r="AE76" s="1633"/>
      <c r="AF76" s="1161">
        <v>19</v>
      </c>
    </row>
    <row s="1367" customFormat="1" customHeight="1" ht="19.95">
      <c r="A77" s="988"/>
      <c r="C77" s="1637"/>
      <c r="D77" s="1639"/>
      <c r="E77" s="547" t="str">
        <f>FHD_NUM_P_39</f>
        <v>5.1.1</v>
      </c>
      <c r="F77" s="1651" t="str">
        <f>FHD_P_39</f>
        <v>Изменения стоимости основных фондов за счет их ввода в эксплуатацию</v>
      </c>
      <c r="G77" s="2073" t="s">
        <v>571</v>
      </c>
      <c r="H77" s="558"/>
      <c r="I77" s="558"/>
      <c r="J77" s="290" t="str">
        <f>FHD_NOTE_P_39</f>
        <v>Указываются изменение стоимости основных фондов за счет их ввода в эксплуатацию.</v>
      </c>
      <c r="K77" s="544"/>
      <c r="L77" s="1637"/>
      <c r="M77" s="1637"/>
      <c r="R77" s="1637"/>
      <c r="U77" s="545"/>
      <c r="AA77" s="1633"/>
      <c r="AB77" s="1633"/>
      <c r="AC77" s="1633"/>
      <c r="AD77" s="1633"/>
      <c r="AE77" s="1633"/>
      <c r="AF77" s="1161">
        <v>19</v>
      </c>
    </row>
    <row s="1367" customFormat="1" customHeight="1" ht="19.95">
      <c r="A78" s="988"/>
      <c r="C78" s="1637"/>
      <c r="D78" s="1639"/>
      <c r="E78" s="547" t="str">
        <f>FHD_NUM_P_40</f>
        <v>5.1.2</v>
      </c>
      <c r="F78" s="2077" t="str">
        <f>FHD_P_40</f>
        <v>Изменения стоимости основных фондов за счет их вывода в эксплуатацию</v>
      </c>
      <c r="G78" s="2072" t="s">
        <v>571</v>
      </c>
      <c r="H78" s="977"/>
      <c r="I78" s="558"/>
      <c r="J78" s="290" t="str">
        <f>FHD_NOTE_P_40</f>
        <v>Указываются изменение стоимости основных фондов за счет их вывода из эксплуатации.</v>
      </c>
      <c r="K78" s="544"/>
      <c r="L78" s="1637"/>
      <c r="M78" s="1637"/>
      <c r="R78" s="1637"/>
      <c r="U78" s="545"/>
      <c r="AA78" s="1633"/>
      <c r="AB78" s="1633"/>
      <c r="AC78" s="1633"/>
      <c r="AD78" s="1633"/>
      <c r="AE78" s="1633"/>
      <c r="AF78" s="1161">
        <v>19</v>
      </c>
    </row>
    <row s="1367" customFormat="1" customHeight="1" ht="19.95">
      <c r="A79" s="988"/>
      <c r="C79" s="1637"/>
      <c r="D79" s="1639"/>
      <c r="E79" s="547" t="str">
        <f>FHD_NUM_P_41</f>
        <v>5.2</v>
      </c>
      <c r="F79" s="2076" t="str">
        <f>FHD_P_41</f>
        <v>Изменение стоимости основных фондов за счет их переоценки</v>
      </c>
      <c r="G79" s="2072" t="s">
        <v>571</v>
      </c>
      <c r="H79" s="977"/>
      <c r="I79" s="558"/>
      <c r="J79" s="290" t="str">
        <f>FHD_NOTE_P_41</f>
        <v/>
      </c>
      <c r="K79" s="544"/>
      <c r="L79" s="1637"/>
      <c r="M79" s="1637"/>
      <c r="R79" s="1637"/>
      <c r="U79" s="545"/>
      <c r="AA79" s="1633"/>
      <c r="AB79" s="1633"/>
      <c r="AC79" s="1633"/>
      <c r="AD79" s="1633"/>
      <c r="AE79" s="1633"/>
      <c r="AF79" s="1161">
        <v>19</v>
      </c>
    </row>
    <row s="1367" customFormat="1" customHeight="1" ht="20.25" hidden="1">
      <c r="A80" s="990" t="s">
        <v>598</v>
      </c>
      <c r="C80" s="1637"/>
      <c r="D80" s="1639"/>
      <c r="E80" s="547" t="str">
        <f>FHD_NUM_P_42</f>
        <v/>
      </c>
      <c r="F80" s="2074" t="str">
        <f>FHD_P_42</f>
        <v/>
      </c>
      <c r="G80" s="2072" t="s">
        <v>571</v>
      </c>
      <c r="H80" s="977"/>
      <c r="I80" s="558"/>
      <c r="J80" s="290" t="str">
        <f>FHD_NOTE_P_42</f>
        <v/>
      </c>
      <c r="K80" s="544"/>
      <c r="L80" s="1637"/>
      <c r="M80" s="1637"/>
      <c r="R80" s="1637"/>
      <c r="U80" s="545"/>
      <c r="AA80" s="1633"/>
      <c r="AB80" s="1633"/>
      <c r="AC80" s="1633"/>
      <c r="AD80" s="1633"/>
      <c r="AE80" s="1633"/>
      <c r="AF80" s="1161">
        <v>19</v>
      </c>
    </row>
    <row s="1367" customFormat="1" customHeight="1" ht="19.95">
      <c r="A81" s="988"/>
      <c r="C81" s="1637"/>
      <c r="D81" s="1639"/>
      <c r="E81" s="547" t="str">
        <f>FHD_NUM_P_43</f>
        <v>6</v>
      </c>
      <c r="F81" s="1881" t="str">
        <f>FHD_P_43</f>
        <v>Годовая бухгалтерская (финансовая) отчетность, включая бухгалтерский баланс и приложения к нему</v>
      </c>
      <c r="G81" s="2075" t="s">
        <v>323</v>
      </c>
      <c r="H81" s="1056"/>
      <c r="I81" s="819"/>
      <c r="J81" s="290" t="str">
        <f>FHD_NOTE_P_43</f>
        <v>Указывается ссылка на документ, предварительно загруженный в хранилище файлов ФГИС ЕИАС.
Регулируемыми организациями информация раскрывается в случае, если выручка от регулируемых видов деятельности превышает 80 процентов совокупной выручки за отчетный год.</v>
      </c>
      <c r="K81" s="544"/>
      <c r="L81" s="1637"/>
      <c r="M81" s="1637"/>
      <c r="R81" s="1637"/>
      <c r="U81" s="545"/>
      <c r="AA81" s="1633"/>
      <c r="AB81" s="1633"/>
      <c r="AC81" s="1633"/>
      <c r="AD81" s="1633"/>
      <c r="AE81" s="1633"/>
      <c r="AF81" s="1161">
        <v>19</v>
      </c>
    </row>
    <row s="1367" customFormat="1" customHeight="1" ht="18.75" hidden="1">
      <c r="A82" s="2372" t="s">
        <v>599</v>
      </c>
      <c r="C82" s="736"/>
      <c r="D82" s="734"/>
      <c r="E82" s="547" t="str">
        <f>FHD_NUM_P_44</f>
        <v/>
      </c>
      <c r="F82" s="1881" t="str">
        <f>FHD_P_44</f>
        <v/>
      </c>
      <c r="G82" s="1882" t="s">
        <v>600</v>
      </c>
      <c r="H82" s="978"/>
      <c r="I82" s="578"/>
      <c r="J82" s="290" t="str">
        <f>FHD_NOTE_P_44</f>
        <v/>
      </c>
      <c r="K82" s="735"/>
      <c r="L82" s="736"/>
      <c r="M82" s="736"/>
      <c r="R82" s="736"/>
      <c r="U82" s="737"/>
      <c r="AA82" s="738"/>
      <c r="AB82" s="738"/>
      <c r="AC82" s="738"/>
      <c r="AD82" s="738"/>
      <c r="AE82" s="738"/>
      <c r="AF82" s="911">
        <v>0</v>
      </c>
    </row>
    <row s="1367" customFormat="1" customHeight="1" ht="18.75" hidden="1">
      <c r="A83" s="2372"/>
      <c r="C83" s="736"/>
      <c r="D83" s="734"/>
      <c r="E83" s="547" t="str">
        <f>FHD_NUM_P_45</f>
        <v/>
      </c>
      <c r="F83" s="1881" t="str">
        <f>FHD_P_45</f>
        <v/>
      </c>
      <c r="G83" s="1882" t="s">
        <v>600</v>
      </c>
      <c r="H83" s="978"/>
      <c r="I83" s="578"/>
      <c r="J83" s="290" t="str">
        <f>FHD_NOTE_P_45</f>
        <v/>
      </c>
      <c r="K83" s="735"/>
      <c r="L83" s="736"/>
      <c r="M83" s="736"/>
      <c r="R83" s="736"/>
      <c r="U83" s="737"/>
      <c r="AA83" s="738"/>
      <c r="AB83" s="738"/>
      <c r="AC83" s="738"/>
      <c r="AD83" s="738"/>
      <c r="AE83" s="738"/>
      <c r="AF83" s="911">
        <v>0</v>
      </c>
    </row>
    <row s="1367" customFormat="1" customHeight="1" ht="18.75" hidden="1">
      <c r="A84" s="2372"/>
      <c r="C84" s="736"/>
      <c r="D84" s="739"/>
      <c r="E84" s="547" t="str">
        <f>FHD_NUM_P_46</f>
        <v/>
      </c>
      <c r="F84" s="1881" t="str">
        <f>FHD_P_46</f>
        <v/>
      </c>
      <c r="G84" s="1882" t="s">
        <v>600</v>
      </c>
      <c r="H84" s="978"/>
      <c r="I84" s="578"/>
      <c r="J84" s="290" t="str">
        <f>FHD_NOTE_P_46</f>
        <v/>
      </c>
      <c r="K84" s="735"/>
      <c r="L84" s="736"/>
      <c r="M84" s="736"/>
      <c r="R84" s="736"/>
      <c r="U84" s="737"/>
      <c r="AA84" s="738"/>
      <c r="AB84" s="738"/>
      <c r="AC84" s="738"/>
      <c r="AD84" s="738"/>
      <c r="AE84" s="738"/>
      <c r="AF84" s="911">
        <v>0</v>
      </c>
    </row>
    <row s="1367" customFormat="1" customHeight="1" ht="18.75" hidden="1">
      <c r="A85" s="2372"/>
      <c r="C85" s="736"/>
      <c r="D85" s="734"/>
      <c r="E85" s="547" t="str">
        <f>FHD_NUM_P_47</f>
        <v/>
      </c>
      <c r="F85" s="1881" t="str">
        <f>FHD_P_47</f>
        <v/>
      </c>
      <c r="G85" s="1882" t="s">
        <v>600</v>
      </c>
      <c r="H85" s="978"/>
      <c r="I85" s="578"/>
      <c r="J85" s="290" t="str">
        <f>FHD_NOTE_P_47</f>
        <v/>
      </c>
      <c r="K85" s="735"/>
      <c r="L85" s="736"/>
      <c r="M85" s="736"/>
      <c r="R85" s="736"/>
      <c r="U85" s="737"/>
      <c r="AA85" s="738"/>
      <c r="AB85" s="738"/>
      <c r="AC85" s="738"/>
      <c r="AD85" s="738"/>
      <c r="AE85" s="738"/>
      <c r="AF85" s="911">
        <v>0</v>
      </c>
    </row>
    <row s="1636" customFormat="1" customHeight="1" ht="18.75" hidden="1">
      <c r="A86" s="2372"/>
      <c r="B86" s="911"/>
      <c r="C86" s="736"/>
      <c r="D86" s="734"/>
      <c r="E86" s="547" t="str">
        <f>FHD_NUM_P_48</f>
        <v/>
      </c>
      <c r="F86" s="1881" t="str">
        <f>FHD_P_48</f>
        <v/>
      </c>
      <c r="G86" s="1882" t="s">
        <v>600</v>
      </c>
      <c r="H86" s="978"/>
      <c r="I86" s="578"/>
      <c r="J86" s="290" t="str">
        <f>FHD_NOTE_P_48</f>
        <v/>
      </c>
      <c r="K86" s="735"/>
      <c r="L86" s="736"/>
      <c r="M86" s="736"/>
      <c r="N86" s="911"/>
      <c r="O86" s="911"/>
      <c r="P86" s="911"/>
      <c r="Q86" s="911"/>
      <c r="R86" s="736"/>
      <c r="S86" s="911"/>
      <c r="T86" s="911"/>
      <c r="U86" s="737"/>
      <c r="V86" s="911"/>
      <c r="W86" s="911"/>
      <c r="X86" s="911"/>
      <c r="Y86" s="911"/>
      <c r="Z86" s="911"/>
      <c r="AA86" s="738"/>
      <c r="AB86" s="738"/>
      <c r="AC86" s="738"/>
      <c r="AD86" s="738"/>
      <c r="AE86" s="738"/>
      <c r="AF86" s="740">
        <v>0</v>
      </c>
    </row>
    <row s="1636" customFormat="1" customHeight="1" ht="18.75" hidden="1">
      <c r="A87" s="2372"/>
      <c r="B87" s="911"/>
      <c r="C87" s="736"/>
      <c r="D87" s="734"/>
      <c r="E87" s="547" t="str">
        <f>FHD_NUM_P_49</f>
        <v/>
      </c>
      <c r="F87" s="1881" t="str">
        <f>FHD_P_49</f>
        <v/>
      </c>
      <c r="G87" s="1882" t="s">
        <v>600</v>
      </c>
      <c r="H87" s="979">
        <f>SUM(H88:H89)</f>
        <v>0</v>
      </c>
      <c r="I87" s="750">
        <f>SUM(I88:I89)</f>
        <v>0</v>
      </c>
      <c r="J87" s="290" t="str">
        <f>FHD_NOTE_P_49</f>
        <v/>
      </c>
      <c r="K87" s="735"/>
      <c r="L87" s="736"/>
      <c r="M87" s="736"/>
      <c r="N87" s="911"/>
      <c r="O87" s="911"/>
      <c r="P87" s="911"/>
      <c r="Q87" s="911"/>
      <c r="R87" s="736"/>
      <c r="S87" s="911"/>
      <c r="T87" s="911"/>
      <c r="U87" s="737"/>
      <c r="V87" s="911"/>
      <c r="W87" s="911"/>
      <c r="X87" s="911"/>
      <c r="Y87" s="911"/>
      <c r="Z87" s="911"/>
      <c r="AA87" s="738"/>
      <c r="AB87" s="738"/>
      <c r="AC87" s="738"/>
      <c r="AD87" s="738"/>
      <c r="AE87" s="738"/>
      <c r="AF87" s="740">
        <v>0</v>
      </c>
    </row>
    <row s="1636" customFormat="1" customHeight="1" ht="18.75" hidden="1">
      <c r="A88" s="2372"/>
      <c r="B88" s="911"/>
      <c r="C88" s="736"/>
      <c r="D88" s="734"/>
      <c r="E88" s="547" t="str">
        <f>FHD_NUM_P_50</f>
        <v/>
      </c>
      <c r="F88" s="1881" t="str">
        <f>FHD_P_50</f>
        <v/>
      </c>
      <c r="G88" s="1882" t="s">
        <v>600</v>
      </c>
      <c r="H88" s="978"/>
      <c r="I88" s="578"/>
      <c r="J88" s="290" t="str">
        <f>FHD_NOTE_P_50</f>
        <v/>
      </c>
      <c r="K88" s="735"/>
      <c r="L88" s="736"/>
      <c r="M88" s="736"/>
      <c r="N88" s="911"/>
      <c r="O88" s="911"/>
      <c r="P88" s="911"/>
      <c r="Q88" s="911"/>
      <c r="R88" s="736"/>
      <c r="S88" s="911"/>
      <c r="T88" s="911"/>
      <c r="U88" s="737"/>
      <c r="V88" s="911"/>
      <c r="W88" s="911"/>
      <c r="X88" s="911"/>
      <c r="Y88" s="911"/>
      <c r="Z88" s="911"/>
      <c r="AA88" s="738"/>
      <c r="AB88" s="738"/>
      <c r="AC88" s="738"/>
      <c r="AD88" s="738"/>
      <c r="AE88" s="738"/>
      <c r="AF88" s="740">
        <v>0</v>
      </c>
    </row>
    <row s="1636" customFormat="1" customHeight="1" ht="18.75" hidden="1">
      <c r="A89" s="2372"/>
      <c r="B89" s="911"/>
      <c r="C89" s="736"/>
      <c r="D89" s="734"/>
      <c r="E89" s="547" t="str">
        <f>FHD_NUM_P_51</f>
        <v/>
      </c>
      <c r="F89" s="1881" t="str">
        <f>FHD_P_51</f>
        <v/>
      </c>
      <c r="G89" s="1882" t="s">
        <v>600</v>
      </c>
      <c r="H89" s="978"/>
      <c r="I89" s="578"/>
      <c r="J89" s="290" t="str">
        <f>FHD_NOTE_P_51</f>
        <v/>
      </c>
      <c r="K89" s="735"/>
      <c r="L89" s="736"/>
      <c r="M89" s="736"/>
      <c r="N89" s="911"/>
      <c r="O89" s="911"/>
      <c r="P89" s="911"/>
      <c r="Q89" s="911"/>
      <c r="R89" s="736"/>
      <c r="S89" s="911"/>
      <c r="T89" s="911"/>
      <c r="U89" s="737"/>
      <c r="V89" s="911"/>
      <c r="W89" s="911"/>
      <c r="X89" s="911"/>
      <c r="Y89" s="911"/>
      <c r="Z89" s="911"/>
      <c r="AA89" s="738"/>
      <c r="AB89" s="738"/>
      <c r="AC89" s="738"/>
      <c r="AD89" s="738"/>
      <c r="AE89" s="738"/>
      <c r="AF89" s="740">
        <v>0</v>
      </c>
    </row>
    <row s="1636" customFormat="1" customHeight="1" ht="18.75" hidden="1">
      <c r="A90" s="2372"/>
      <c r="B90" s="911"/>
      <c r="C90" s="736"/>
      <c r="D90" s="734"/>
      <c r="E90" s="547" t="str">
        <f>FHD_NUM_P_52</f>
        <v/>
      </c>
      <c r="F90" s="1881" t="str">
        <f>FHD_P_52</f>
        <v/>
      </c>
      <c r="G90" s="1882" t="s">
        <v>577</v>
      </c>
      <c r="H90" s="977"/>
      <c r="I90" s="558"/>
      <c r="J90" s="290" t="str">
        <f>FHD_NOTE_P_52</f>
        <v/>
      </c>
      <c r="K90" s="735"/>
      <c r="L90" s="736"/>
      <c r="M90" s="736"/>
      <c r="N90" s="911"/>
      <c r="O90" s="911"/>
      <c r="P90" s="911"/>
      <c r="Q90" s="911"/>
      <c r="R90" s="736"/>
      <c r="S90" s="911"/>
      <c r="T90" s="911"/>
      <c r="U90" s="737"/>
      <c r="V90" s="911"/>
      <c r="W90" s="911"/>
      <c r="X90" s="911"/>
      <c r="Y90" s="911"/>
      <c r="Z90" s="911"/>
      <c r="AA90" s="738"/>
      <c r="AB90" s="738"/>
      <c r="AC90" s="738"/>
      <c r="AD90" s="738"/>
      <c r="AE90" s="738"/>
      <c r="AF90" s="740">
        <v>0</v>
      </c>
    </row>
    <row s="1367" customFormat="1" customHeight="1" ht="18.75" hidden="1">
      <c r="A91" s="2374" t="s">
        <v>601</v>
      </c>
      <c r="C91" s="736"/>
      <c r="D91" s="734"/>
      <c r="E91" s="547" t="str">
        <f>FHD_NUM_P_53</f>
        <v/>
      </c>
      <c r="F91" s="1881" t="str">
        <f>FHD_P_53</f>
        <v/>
      </c>
      <c r="G91" s="1882" t="s">
        <v>600</v>
      </c>
      <c r="H91" s="978"/>
      <c r="I91" s="578"/>
      <c r="J91" s="290" t="str">
        <f>FHD_NOTE_P_53</f>
        <v/>
      </c>
      <c r="K91" s="735"/>
      <c r="L91" s="736"/>
      <c r="M91" s="736"/>
      <c r="R91" s="736"/>
      <c r="U91" s="737"/>
      <c r="AA91" s="738"/>
      <c r="AB91" s="738"/>
      <c r="AC91" s="738"/>
      <c r="AD91" s="738"/>
      <c r="AE91" s="738"/>
      <c r="AF91" s="911">
        <v>0</v>
      </c>
    </row>
    <row s="1367" customFormat="1" customHeight="1" ht="18.75" hidden="1">
      <c r="A92" s="2374"/>
      <c r="C92" s="736"/>
      <c r="D92" s="734"/>
      <c r="E92" s="547" t="str">
        <f>FHD_NUM_P_54</f>
        <v/>
      </c>
      <c r="F92" s="1881" t="str">
        <f>FHD_P_54</f>
        <v/>
      </c>
      <c r="G92" s="1882" t="s">
        <v>600</v>
      </c>
      <c r="H92" s="978"/>
      <c r="I92" s="578"/>
      <c r="J92" s="290" t="str">
        <f>FHD_NOTE_P_54</f>
        <v/>
      </c>
      <c r="K92" s="735"/>
      <c r="L92" s="736"/>
      <c r="M92" s="736"/>
      <c r="R92" s="736"/>
      <c r="U92" s="737"/>
      <c r="AA92" s="738"/>
      <c r="AB92" s="738"/>
      <c r="AC92" s="738"/>
      <c r="AD92" s="738"/>
      <c r="AE92" s="738"/>
      <c r="AF92" s="911">
        <v>0</v>
      </c>
    </row>
    <row s="1367" customFormat="1" customHeight="1" ht="18.75" hidden="1">
      <c r="A93" s="2374"/>
      <c r="C93" s="736"/>
      <c r="D93" s="739"/>
      <c r="E93" s="547" t="str">
        <f>FHD_NUM_P_55</f>
        <v/>
      </c>
      <c r="F93" s="1881" t="str">
        <f>FHD_P_55</f>
        <v/>
      </c>
      <c r="G93" s="1885"/>
      <c r="H93" s="978"/>
      <c r="I93" s="578"/>
      <c r="J93" s="290" t="str">
        <f>FHD_NOTE_P_55</f>
        <v/>
      </c>
      <c r="K93" s="735"/>
      <c r="L93" s="736"/>
      <c r="M93" s="736"/>
      <c r="R93" s="736"/>
      <c r="U93" s="737"/>
      <c r="AA93" s="738"/>
      <c r="AB93" s="738"/>
      <c r="AC93" s="738"/>
      <c r="AD93" s="738"/>
      <c r="AE93" s="738"/>
      <c r="AF93" s="911">
        <v>0</v>
      </c>
    </row>
    <row s="1367" customFormat="1" customHeight="1" ht="18.75" hidden="1">
      <c r="A94" s="2374"/>
      <c r="C94" s="736"/>
      <c r="D94" s="734"/>
      <c r="E94" s="547" t="str">
        <f>FHD_NUM_P_56</f>
        <v/>
      </c>
      <c r="F94" s="1881" t="str">
        <f>FHD_P_56</f>
        <v/>
      </c>
      <c r="G94" s="1882" t="s">
        <v>602</v>
      </c>
      <c r="H94" s="978"/>
      <c r="I94" s="578"/>
      <c r="J94" s="290" t="str">
        <f>FHD_NOTE_P_56</f>
        <v/>
      </c>
      <c r="K94" s="735"/>
      <c r="L94" s="736"/>
      <c r="M94" s="736"/>
      <c r="R94" s="736"/>
      <c r="U94" s="737"/>
      <c r="AA94" s="738"/>
      <c r="AB94" s="738"/>
      <c r="AC94" s="738"/>
      <c r="AD94" s="738"/>
      <c r="AE94" s="738"/>
      <c r="AF94" s="911">
        <v>0</v>
      </c>
    </row>
    <row s="1636" customFormat="1" customHeight="1" ht="18.75" hidden="1">
      <c r="A95" s="2374"/>
      <c r="B95" s="911"/>
      <c r="C95" s="736"/>
      <c r="D95" s="734"/>
      <c r="E95" s="547" t="str">
        <f>FHD_NUM_P_57</f>
        <v/>
      </c>
      <c r="F95" s="1881" t="str">
        <f>FHD_P_57</f>
        <v/>
      </c>
      <c r="G95" s="1882" t="s">
        <v>577</v>
      </c>
      <c r="H95" s="977"/>
      <c r="I95" s="558"/>
      <c r="J95" s="290" t="str">
        <f>FHD_NOTE_P_57</f>
        <v/>
      </c>
      <c r="K95" s="735"/>
      <c r="L95" s="736"/>
      <c r="M95" s="736"/>
      <c r="N95" s="911"/>
      <c r="O95" s="911"/>
      <c r="P95" s="911"/>
      <c r="Q95" s="911"/>
      <c r="R95" s="736"/>
      <c r="S95" s="911"/>
      <c r="T95" s="911"/>
      <c r="U95" s="737"/>
      <c r="V95" s="911"/>
      <c r="W95" s="911"/>
      <c r="X95" s="911"/>
      <c r="Y95" s="911"/>
      <c r="Z95" s="911"/>
      <c r="AA95" s="738"/>
      <c r="AB95" s="738"/>
      <c r="AC95" s="738"/>
      <c r="AD95" s="738"/>
      <c r="AE95" s="738"/>
      <c r="AF95" s="740">
        <v>0</v>
      </c>
    </row>
    <row customHeight="1" ht="18.75" hidden="1">
      <c r="A96" s="2372" t="s">
        <v>603</v>
      </c>
      <c r="D96" s="1639"/>
      <c r="E96" s="547" t="str">
        <f>FHD_NUM_P_58</f>
        <v/>
      </c>
      <c r="F96" s="1881" t="str">
        <f>FHD_P_58</f>
        <v/>
      </c>
      <c r="G96" s="1882" t="s">
        <v>600</v>
      </c>
      <c r="H96" s="978"/>
      <c r="I96" s="578"/>
      <c r="J96" s="290" t="str">
        <f>FHD_NOTE_P_58</f>
        <v/>
      </c>
      <c r="K96" s="544"/>
      <c r="AF96" s="1632">
        <v>0</v>
      </c>
    </row>
    <row customHeight="1" ht="18.75" hidden="1">
      <c r="A97" s="2372"/>
      <c r="D97" s="1639"/>
      <c r="E97" s="547" t="str">
        <f>FHD_NUM_P_59</f>
        <v/>
      </c>
      <c r="F97" s="1881" t="str">
        <f>FHD_P_59</f>
        <v/>
      </c>
      <c r="G97" s="1882" t="s">
        <v>600</v>
      </c>
      <c r="H97" s="978"/>
      <c r="I97" s="578"/>
      <c r="J97" s="290" t="str">
        <f>FHD_NOTE_P_59</f>
        <v/>
      </c>
      <c r="K97" s="544"/>
      <c r="AF97" s="1632">
        <v>0</v>
      </c>
    </row>
    <row customHeight="1" ht="18.75" hidden="1">
      <c r="A98" s="2372"/>
      <c r="D98" s="1639"/>
      <c r="E98" s="547" t="str">
        <f>FHD_NUM_P_60</f>
        <v/>
      </c>
      <c r="F98" s="1881" t="str">
        <f>FHD_P_60</f>
        <v/>
      </c>
      <c r="G98" s="1882" t="s">
        <v>600</v>
      </c>
      <c r="H98" s="978"/>
      <c r="I98" s="578"/>
      <c r="J98" s="290" t="str">
        <f>FHD_NOTE_P_60</f>
        <v/>
      </c>
      <c r="K98" s="544"/>
      <c r="AF98" s="1632">
        <v>0</v>
      </c>
    </row>
    <row s="1367" customFormat="1" customHeight="1" ht="18.75">
      <c r="A99" s="2372" t="s">
        <v>604</v>
      </c>
      <c r="C99" s="1637"/>
      <c r="D99" s="1639"/>
      <c r="E99" s="547" t="str">
        <f>FHD_NUM_P_61</f>
        <v>7</v>
      </c>
      <c r="F99" s="1881" t="str">
        <f>FHD_P_61</f>
        <v>Установленная тепловая мощность объектов основных фондов, используемых для теплоснабжения, в том числе по каждому источнику тепловой энергии</v>
      </c>
      <c r="G99" s="1879" t="s">
        <v>575</v>
      </c>
      <c r="H99" s="980"/>
      <c r="I99" s="743"/>
      <c r="J99" s="290" t="str">
        <f>FHD_NOTE_P_61</f>
        <v>Указывается суммарная установленная тепловая мощность объектов основных фондов, используемых для осуществления теплоснабжения.
Регулируемыми организациями указывается информация по объектам, используемым для осуществления регулируемых видов деятельности.</v>
      </c>
      <c r="K99" s="544"/>
      <c r="L99" s="1637"/>
      <c r="M99" s="1637"/>
      <c r="R99" s="1637"/>
      <c r="U99" s="545"/>
      <c r="AA99" s="1633"/>
      <c r="AB99" s="1633"/>
      <c r="AC99" s="1633"/>
      <c r="AD99" s="1633"/>
      <c r="AE99" s="1633"/>
      <c r="AF99" s="1161">
        <v>0</v>
      </c>
    </row>
    <row s="1643" customFormat="1" customHeight="1" ht="0.75">
      <c r="A100" s="2372"/>
      <c r="D100" s="549"/>
      <c r="E100" s="1014" t="str">
        <f>E99&amp;".0"</f>
        <v>7.0</v>
      </c>
      <c r="F100" s="995"/>
      <c r="G100" s="996"/>
      <c r="H100" s="993"/>
      <c r="I100" s="993"/>
      <c r="J100" s="997"/>
      <c r="AF100" s="1637">
        <v>0</v>
      </c>
    </row>
    <row customHeight="1" ht="15">
      <c r="A101" s="2372"/>
      <c r="D101" s="1634"/>
      <c r="E101" s="972"/>
      <c r="F101" s="973" t="s">
        <v>605</v>
      </c>
      <c r="G101" s="573"/>
      <c r="H101" s="574"/>
      <c r="I101" s="574"/>
      <c r="J101" s="1005" t="s">
        <v>606</v>
      </c>
      <c r="K101" s="544"/>
      <c r="AF101" s="1632">
        <v>0</v>
      </c>
    </row>
    <row s="1367" customFormat="1" customHeight="1" ht="18.75">
      <c r="A102" s="2372"/>
      <c r="C102" s="1637"/>
      <c r="D102" s="1639"/>
      <c r="E102" s="547" t="str">
        <f>FHD_NUM_P_62</f>
        <v>8</v>
      </c>
      <c r="F102" s="1881" t="str">
        <f>FHD_P_62</f>
        <v>Тепловая нагрузка по договорам, заключенным в рамках осуществления регулируемых видов деятельности</v>
      </c>
      <c r="G102" s="1878" t="s">
        <v>575</v>
      </c>
      <c r="H102" s="558"/>
      <c r="I102" s="558"/>
      <c r="J102" s="290" t="str">
        <f>FHD_NOTE_P_62</f>
        <v>Регулируемыми организациями указывается информация по договорам, заключенным в рамках осуществления регулируемых видов деятельности</v>
      </c>
      <c r="K102" s="544"/>
      <c r="L102" s="1637"/>
      <c r="M102" s="1637"/>
      <c r="R102" s="1637"/>
      <c r="U102" s="545"/>
      <c r="AA102" s="1633"/>
      <c r="AB102" s="1633"/>
      <c r="AC102" s="1633"/>
      <c r="AD102" s="1633"/>
      <c r="AE102" s="1633"/>
      <c r="AF102" s="1161">
        <v>0</v>
      </c>
    </row>
    <row s="1367" customFormat="1" customHeight="1" ht="18.75">
      <c r="A103" s="2372"/>
      <c r="C103" s="1637"/>
      <c r="D103" s="1639"/>
      <c r="E103" s="547" t="str">
        <f>FHD_NUM_P_63</f>
        <v>9</v>
      </c>
      <c r="F103" s="1881" t="str">
        <f>FHD_P_63</f>
        <v>Объем вырабатываемой регулируемой организацией тепловой энергии в рамках осуществления регулируемых видов деятельности</v>
      </c>
      <c r="G103" s="1878" t="s">
        <v>602</v>
      </c>
      <c r="H103" s="578"/>
      <c r="I103" s="578"/>
      <c r="J103" s="290" t="str">
        <f>FHD_NOTE_P_63</f>
        <v>Регулируемыми организациями указывается информация тепловой энергии, выработанной в рамках осуществления регулируемых видов деятельности.</v>
      </c>
      <c r="K103" s="544"/>
      <c r="L103" s="1637"/>
      <c r="M103" s="1637"/>
      <c r="R103" s="1637"/>
      <c r="U103" s="545"/>
      <c r="AA103" s="1633"/>
      <c r="AB103" s="1633"/>
      <c r="AC103" s="1633"/>
      <c r="AD103" s="1633"/>
      <c r="AE103" s="1633"/>
      <c r="AF103" s="1161">
        <v>0</v>
      </c>
    </row>
    <row s="1367" customFormat="1" customHeight="1" ht="18.75">
      <c r="A104" s="2372"/>
      <c r="C104" s="1637" t="s">
        <v>607</v>
      </c>
      <c r="D104" s="1639"/>
      <c r="E104" s="547" t="str">
        <f>FHD_NUM_P_64</f>
        <v>9.1</v>
      </c>
      <c r="F104" s="1881" t="str">
        <f>FHD_P_64</f>
        <v>Объем приобретаемой регулируемой организацией тепловой энергии в рамках осуществления регулируемых видов деятельности</v>
      </c>
      <c r="G104" s="1878" t="s">
        <v>602</v>
      </c>
      <c r="H104" s="546"/>
      <c r="I104" s="546"/>
      <c r="J104" s="290" t="str">
        <f>FHD_NOTE_P_64</f>
        <v>Информация указывается только едиными теплоснабжающими организациями.</v>
      </c>
      <c r="K104" s="544"/>
      <c r="L104" s="1637"/>
      <c r="M104" s="1637"/>
      <c r="R104" s="1637"/>
      <c r="U104" s="545"/>
      <c r="AA104" s="1633"/>
      <c r="AB104" s="1633"/>
      <c r="AC104" s="1633"/>
      <c r="AD104" s="1633"/>
      <c r="AE104" s="1633"/>
      <c r="AF104" s="1161">
        <v>0</v>
      </c>
    </row>
    <row s="1367" customFormat="1" customHeight="1" ht="18.75">
      <c r="A105" s="2372"/>
      <c r="C105" s="1637"/>
      <c r="D105" s="1639"/>
      <c r="E105" s="547" t="str">
        <f>FHD_NUM_P_65</f>
        <v>10</v>
      </c>
      <c r="F105" s="1881" t="str">
        <f>FHD_P_65</f>
        <v>Объем тепловой энергии, отпускаемой потребителям по договорам, заключенным в рамках осуществления регулируемых видов деятельности, определенном в том числе</v>
      </c>
      <c r="G105" s="1878" t="s">
        <v>602</v>
      </c>
      <c r="H105" s="578"/>
      <c r="I105" s="578"/>
      <c r="J105" s="290" t="str">
        <f>FHD_NOTE_P_65</f>
        <v>Указывается общий объем тепловой энергии, отпускаемой потребителям.
Регулируемыми организациями указывается информация, включая отдельно сведения об определенном по приборам учета объеме тепловой энергии, отпускаемой потребителям по договорам, максимальный объем потребления тепловой энергии объектов которых составляет менее чем 0,2 Гкал/ч</v>
      </c>
      <c r="K105" s="544"/>
      <c r="L105" s="1637"/>
      <c r="M105" s="1637"/>
      <c r="R105" s="1637"/>
      <c r="U105" s="545"/>
      <c r="AA105" s="1633"/>
      <c r="AB105" s="1633"/>
      <c r="AC105" s="1633"/>
      <c r="AD105" s="1633"/>
      <c r="AE105" s="1633"/>
      <c r="AF105" s="1161">
        <v>0</v>
      </c>
    </row>
    <row s="1367" customFormat="1" customHeight="1" ht="18.75">
      <c r="A106" s="2372"/>
      <c r="C106" s="1637"/>
      <c r="D106" s="1639"/>
      <c r="E106" s="547" t="str">
        <f>FHD_NUM_P_66</f>
        <v>10.1</v>
      </c>
      <c r="F106" s="1525" t="str">
        <f>FHD_P_66</f>
        <v>По приборам учёта </v>
      </c>
      <c r="G106" s="1878" t="s">
        <v>602</v>
      </c>
      <c r="H106" s="578"/>
      <c r="I106" s="578"/>
      <c r="J106" s="290" t="str">
        <f>FHD_NOTE_P_66</f>
        <v/>
      </c>
      <c r="K106" s="544"/>
      <c r="L106" s="1637"/>
      <c r="M106" s="1637"/>
      <c r="R106" s="1637"/>
      <c r="U106" s="545"/>
      <c r="AA106" s="1633"/>
      <c r="AB106" s="1633"/>
      <c r="AC106" s="1633"/>
      <c r="AD106" s="1633"/>
      <c r="AE106" s="1633"/>
      <c r="AF106" s="1161">
        <v>0</v>
      </c>
    </row>
    <row s="1367" customFormat="1" customHeight="1" ht="18.75">
      <c r="A107" s="2372"/>
      <c r="C107" s="1637"/>
      <c r="D107" s="1639"/>
      <c r="E107" s="547" t="str">
        <f>FHD_NUM_P_67</f>
        <v>10.1.1</v>
      </c>
      <c r="F107" s="1651" t="str">
        <f>FHD_P_67</f>
        <v>Определенный по приборам учета объем тепловой энергии, отпускаемой по договорам потребителям, максимальный объем потребления тепловой энергии объектов которых составляет менее чем 0,2 Гкал</v>
      </c>
      <c r="G107" s="1878" t="s">
        <v>602</v>
      </c>
      <c r="H107" s="578"/>
      <c r="I107" s="578"/>
      <c r="J107" s="290" t="str">
        <f>FHD_NOTE_P_67</f>
        <v/>
      </c>
      <c r="K107" s="544"/>
      <c r="L107" s="1637"/>
      <c r="M107" s="1637"/>
      <c r="R107" s="1637"/>
      <c r="U107" s="545"/>
      <c r="AA107" s="1633"/>
      <c r="AB107" s="1633"/>
      <c r="AC107" s="1633"/>
      <c r="AD107" s="1633"/>
      <c r="AE107" s="1633"/>
      <c r="AF107" s="1161">
        <v>0</v>
      </c>
    </row>
    <row s="1367" customFormat="1" customHeight="1" ht="18.75">
      <c r="A108" s="2372"/>
      <c r="C108" s="1637"/>
      <c r="D108" s="1639"/>
      <c r="E108" s="547" t="str">
        <f>FHD_NUM_P_68</f>
        <v>10.2</v>
      </c>
      <c r="F108" s="1525" t="str">
        <f>FHD_P_68</f>
        <v>Расчётным путём</v>
      </c>
      <c r="G108" s="1878" t="s">
        <v>602</v>
      </c>
      <c r="H108" s="578"/>
      <c r="I108" s="578"/>
      <c r="J108" s="290" t="str">
        <f>FHD_NOTE_P_68</f>
        <v/>
      </c>
      <c r="K108" s="544"/>
      <c r="L108" s="1637"/>
      <c r="M108" s="1637"/>
      <c r="R108" s="1637"/>
      <c r="U108" s="545"/>
      <c r="AA108" s="1633"/>
      <c r="AB108" s="1633"/>
      <c r="AC108" s="1633"/>
      <c r="AD108" s="1633"/>
      <c r="AE108" s="1633"/>
      <c r="AF108" s="1161">
        <v>0</v>
      </c>
    </row>
    <row s="1367" customFormat="1" customHeight="1" ht="18.75">
      <c r="A109" s="2372"/>
      <c r="C109" s="1637"/>
      <c r="D109" s="1639"/>
      <c r="E109" s="547" t="str">
        <f>FHD_NUM_P_69</f>
        <v>10.3</v>
      </c>
      <c r="F109" s="1525" t="str">
        <f>FHD_P_69</f>
        <v>По нормативам потребления коммунальных услуг и нормативам потребления коммунальных ресурсов</v>
      </c>
      <c r="G109" s="1878" t="s">
        <v>602</v>
      </c>
      <c r="H109" s="578"/>
      <c r="I109" s="578"/>
      <c r="J109" s="290" t="str">
        <f>FHD_NOTE_P_69</f>
        <v/>
      </c>
      <c r="K109" s="544"/>
      <c r="L109" s="1637"/>
      <c r="M109" s="1637"/>
      <c r="R109" s="1637"/>
      <c r="U109" s="545"/>
      <c r="AA109" s="1633"/>
      <c r="AB109" s="1633"/>
      <c r="AC109" s="1633"/>
      <c r="AD109" s="1633"/>
      <c r="AE109" s="1633"/>
      <c r="AF109" s="1161">
        <v>0</v>
      </c>
    </row>
    <row s="1367" customFormat="1" customHeight="1" ht="22.5">
      <c r="A110" s="2372"/>
      <c r="C110" s="1637"/>
      <c r="D110" s="1639"/>
      <c r="E110" s="547" t="str">
        <f>FHD_NUM_P_70</f>
        <v>11</v>
      </c>
      <c r="F110" s="1881" t="str">
        <f>FHD_P_70</f>
        <v>Нормативы технологических потерь при передаче тепловой энергии, теплоносителя по тепловым сетям, утвержденные уполномоченным органом</v>
      </c>
      <c r="G110" s="1878" t="s">
        <v>608</v>
      </c>
      <c r="H110" s="558"/>
      <c r="I110" s="558"/>
      <c r="J110" s="290" t="str">
        <f>FHD_NOTE_P_70</f>
        <v/>
      </c>
      <c r="K110" s="544"/>
      <c r="L110" s="1637"/>
      <c r="M110" s="1637"/>
      <c r="R110" s="1637"/>
      <c r="U110" s="545"/>
      <c r="AA110" s="1633"/>
      <c r="AB110" s="1633"/>
      <c r="AC110" s="1633"/>
      <c r="AD110" s="1633"/>
      <c r="AE110" s="1633"/>
      <c r="AF110" s="1161">
        <v>0</v>
      </c>
    </row>
    <row s="1367" customFormat="1" customHeight="1" ht="22.5">
      <c r="A111" s="2372"/>
      <c r="C111" s="1637"/>
      <c r="D111" s="1639"/>
      <c r="E111" s="547" t="str">
        <f>FHD_NUM_P_71</f>
        <v>12</v>
      </c>
      <c r="F111" s="1881" t="str">
        <f>FHD_P_71</f>
        <v>Фактический объем потерь при передаче тепловой энергии</v>
      </c>
      <c r="G111" s="1878" t="s">
        <v>608</v>
      </c>
      <c r="H111" s="558"/>
      <c r="I111" s="558"/>
      <c r="J111" s="290" t="str">
        <f>FHD_NOTE_P_71</f>
        <v/>
      </c>
      <c r="K111" s="544"/>
      <c r="L111" s="1637"/>
      <c r="M111" s="1637"/>
      <c r="R111" s="1637"/>
      <c r="U111" s="545"/>
      <c r="AA111" s="1633"/>
      <c r="AB111" s="1633"/>
      <c r="AC111" s="1633"/>
      <c r="AD111" s="1633"/>
      <c r="AE111" s="1633"/>
      <c r="AF111" s="1161">
        <v>0</v>
      </c>
    </row>
    <row customHeight="1" ht="19.95">
      <c r="D112" s="1639"/>
      <c r="E112" s="547" t="str">
        <f>FHD_NUM_P_72</f>
        <v>13</v>
      </c>
      <c r="F112" s="1881" t="str">
        <f>FHD_P_72</f>
        <v>Среднесписочная численность основного производственного персонала</v>
      </c>
      <c r="G112" s="1877" t="s">
        <v>609</v>
      </c>
      <c r="H112" s="578"/>
      <c r="I112" s="578"/>
      <c r="J112" s="290" t="str">
        <f>FHD_NOTE_P_72</f>
        <v/>
      </c>
      <c r="K112" s="544"/>
      <c r="AF112" s="1632">
        <v>19</v>
      </c>
    </row>
    <row customHeight="1" ht="18.75">
      <c r="A113" s="990" t="s">
        <v>610</v>
      </c>
      <c r="D113" s="1639"/>
      <c r="E113" s="547" t="str">
        <f>FHD_NUM_P_73</f>
        <v>14</v>
      </c>
      <c r="F113" s="1881" t="str">
        <f>FHD_P_73</f>
        <v>Среднесписочная численность административно-управленческого персонала</v>
      </c>
      <c r="G113" s="971" t="s">
        <v>609</v>
      </c>
      <c r="H113" s="969"/>
      <c r="I113" s="969"/>
      <c r="J113" s="290" t="str">
        <f>FHD_NOTE_P_73</f>
        <v/>
      </c>
      <c r="K113" s="544"/>
      <c r="AF113" s="1632">
        <v>0</v>
      </c>
    </row>
    <row customHeight="1" ht="33.75" hidden="1">
      <c r="A114" s="990" t="s">
        <v>611</v>
      </c>
      <c r="D114" s="1639"/>
      <c r="E114" s="547" t="str">
        <f>FHD_NUM_P_74</f>
        <v/>
      </c>
      <c r="F114" s="1881" t="str">
        <f>FHD_P_74</f>
        <v/>
      </c>
      <c r="G114" s="1877" t="s">
        <v>612</v>
      </c>
      <c r="H114" s="578"/>
      <c r="I114" s="578"/>
      <c r="J114" s="290" t="str">
        <f>FHD_NOTE_P_74</f>
        <v/>
      </c>
      <c r="K114" s="544"/>
      <c r="AF114" s="1632">
        <v>0</v>
      </c>
    </row>
    <row s="1636" customFormat="1" customHeight="1" ht="18.75" hidden="1">
      <c r="A115" s="2374" t="s">
        <v>613</v>
      </c>
      <c r="B115" s="911"/>
      <c r="C115" s="736"/>
      <c r="D115" s="734"/>
      <c r="E115" s="547" t="str">
        <f>FHD_NUM_P_75</f>
        <v/>
      </c>
      <c r="F115" s="1881" t="str">
        <f>FHD_P_75</f>
        <v/>
      </c>
      <c r="G115" s="1877" t="s">
        <v>577</v>
      </c>
      <c r="H115" s="558"/>
      <c r="I115" s="558"/>
      <c r="J115" s="290" t="str">
        <f>FHD_NOTE_P_75</f>
        <v/>
      </c>
      <c r="K115" s="735"/>
      <c r="L115" s="736"/>
      <c r="M115" s="736"/>
      <c r="N115" s="911"/>
      <c r="O115" s="911"/>
      <c r="P115" s="911"/>
      <c r="Q115" s="911"/>
      <c r="R115" s="736"/>
      <c r="S115" s="911"/>
      <c r="T115" s="911"/>
      <c r="U115" s="737"/>
      <c r="V115" s="911"/>
      <c r="W115" s="911"/>
      <c r="X115" s="911"/>
      <c r="Y115" s="911"/>
      <c r="Z115" s="911"/>
      <c r="AA115" s="738"/>
      <c r="AB115" s="738"/>
      <c r="AC115" s="738"/>
      <c r="AD115" s="738"/>
      <c r="AE115" s="738"/>
      <c r="AF115" s="740">
        <v>0</v>
      </c>
    </row>
    <row s="1636" customFormat="1" customHeight="1" ht="18.75" hidden="1">
      <c r="A116" s="2374"/>
      <c r="B116" s="911"/>
      <c r="C116" s="736"/>
      <c r="D116" s="734"/>
      <c r="E116" s="547" t="str">
        <f>FHD_NUM_P_76</f>
        <v/>
      </c>
      <c r="F116" s="1881" t="str">
        <f>FHD_P_76</f>
        <v/>
      </c>
      <c r="G116" s="1877" t="s">
        <v>577</v>
      </c>
      <c r="H116" s="558"/>
      <c r="I116" s="558"/>
      <c r="J116" s="290" t="str">
        <f>FHD_NOTE_P_76</f>
        <v/>
      </c>
      <c r="K116" s="735"/>
      <c r="L116" s="736"/>
      <c r="M116" s="736"/>
      <c r="N116" s="911"/>
      <c r="O116" s="911"/>
      <c r="P116" s="911"/>
      <c r="Q116" s="911"/>
      <c r="R116" s="736"/>
      <c r="S116" s="911"/>
      <c r="T116" s="911"/>
      <c r="U116" s="737"/>
      <c r="V116" s="911"/>
      <c r="W116" s="911"/>
      <c r="X116" s="911"/>
      <c r="Y116" s="911"/>
      <c r="Z116" s="911"/>
      <c r="AA116" s="738"/>
      <c r="AB116" s="738"/>
      <c r="AC116" s="738"/>
      <c r="AD116" s="738"/>
      <c r="AE116" s="738"/>
      <c r="AF116" s="740">
        <v>0</v>
      </c>
    </row>
    <row s="1636" customFormat="1" customHeight="1" ht="18.75" hidden="1">
      <c r="A117" s="2374"/>
      <c r="B117" s="911"/>
      <c r="C117" s="736"/>
      <c r="D117" s="734"/>
      <c r="E117" s="547" t="str">
        <f>FHD_NUM_P_77</f>
        <v/>
      </c>
      <c r="F117" s="1881" t="str">
        <f>FHD_P_77</f>
        <v/>
      </c>
      <c r="G117" s="1877" t="s">
        <v>577</v>
      </c>
      <c r="H117" s="558"/>
      <c r="I117" s="558"/>
      <c r="J117" s="290" t="str">
        <f>FHD_NOTE_P_77</f>
        <v/>
      </c>
      <c r="K117" s="735"/>
      <c r="L117" s="736"/>
      <c r="M117" s="736"/>
      <c r="N117" s="911"/>
      <c r="O117" s="911"/>
      <c r="P117" s="911"/>
      <c r="Q117" s="911"/>
      <c r="R117" s="736"/>
      <c r="S117" s="911"/>
      <c r="T117" s="911"/>
      <c r="U117" s="737"/>
      <c r="V117" s="911"/>
      <c r="W117" s="911"/>
      <c r="X117" s="911"/>
      <c r="Y117" s="911"/>
      <c r="Z117" s="911"/>
      <c r="AA117" s="738"/>
      <c r="AB117" s="738"/>
      <c r="AC117" s="738"/>
      <c r="AD117" s="738"/>
      <c r="AE117" s="738"/>
      <c r="AF117" s="740">
        <v>0</v>
      </c>
    </row>
    <row s="1643" customFormat="1" customHeight="1" ht="0.75" hidden="1">
      <c r="A118" s="2374"/>
      <c r="D118" s="549"/>
      <c r="E118" s="1014" t="str">
        <f>E117&amp;".0"</f>
        <v>.0</v>
      </c>
      <c r="F118" s="998"/>
      <c r="G118" s="1652"/>
      <c r="H118" s="993"/>
      <c r="I118" s="993"/>
      <c r="J118" s="997"/>
      <c r="AF118" s="1637">
        <v>0</v>
      </c>
    </row>
    <row s="1636" customFormat="1" customHeight="1" ht="15" hidden="1">
      <c r="A119" s="2374"/>
      <c r="B119" s="911"/>
      <c r="C119" s="736"/>
      <c r="D119" s="747"/>
      <c r="E119" s="974"/>
      <c r="F119" s="975" t="s">
        <v>614</v>
      </c>
      <c r="G119" s="748"/>
      <c r="H119" s="749"/>
      <c r="I119" s="749"/>
      <c r="J119" s="1004" t="s">
        <v>615</v>
      </c>
      <c r="K119" s="735"/>
      <c r="L119" s="736"/>
      <c r="M119" s="736"/>
      <c r="N119" s="911"/>
      <c r="O119" s="911"/>
      <c r="P119" s="911"/>
      <c r="Q119" s="911"/>
      <c r="R119" s="736"/>
      <c r="S119" s="911"/>
      <c r="T119" s="911"/>
      <c r="U119" s="737"/>
      <c r="V119" s="911"/>
      <c r="W119" s="911"/>
      <c r="X119" s="911"/>
      <c r="Y119" s="911"/>
      <c r="Z119" s="911"/>
      <c r="AA119" s="738"/>
      <c r="AB119" s="738"/>
      <c r="AC119" s="738"/>
      <c r="AD119" s="738"/>
      <c r="AE119" s="738"/>
      <c r="AF119" s="740">
        <v>0</v>
      </c>
    </row>
    <row customHeight="1" ht="22.5">
      <c r="A120" s="2372" t="s">
        <v>616</v>
      </c>
      <c r="D120" s="1639"/>
      <c r="E120" s="547" t="str">
        <f>FHD_NUM_P_78</f>
        <v>15</v>
      </c>
      <c r="F120" s="1881" t="str">
        <f>FHD_P_78</f>
        <v>Норматив удельного расхода условного топлива при производстве тепловой энергии источниками тепловой энергии, используемыми для осуществления регулируемых видов деятельности, в целом по регулируемой организации или с распределением по источникам тепловой энергии (в зависимости от показателя (показателей), утвержденного уполномоченным органом)</v>
      </c>
      <c r="G120" s="1878" t="s">
        <v>579</v>
      </c>
      <c r="H120" s="578"/>
      <c r="I120" s="578"/>
      <c r="J120" s="290" t="str">
        <f>FHD_NOTE_P_78</f>
        <v/>
      </c>
      <c r="K120" s="544"/>
      <c r="AF120" s="1632">
        <v>0</v>
      </c>
    </row>
    <row s="1643" customFormat="1" customHeight="1" ht="0.75">
      <c r="A121" s="2372"/>
      <c r="D121" s="549"/>
      <c r="E121" s="1014" t="str">
        <f>E120&amp;".0"</f>
        <v>15.0</v>
      </c>
      <c r="F121" s="998"/>
      <c r="G121" s="1652"/>
      <c r="H121" s="993"/>
      <c r="I121" s="993"/>
      <c r="J121" s="997"/>
      <c r="AF121" s="1637">
        <v>0</v>
      </c>
    </row>
    <row customHeight="1" ht="15">
      <c r="A122" s="2372"/>
      <c r="D122" s="1634"/>
      <c r="E122" s="571"/>
      <c r="F122" s="1169" t="s">
        <v>605</v>
      </c>
      <c r="G122" s="573"/>
      <c r="H122" s="574"/>
      <c r="I122" s="574"/>
      <c r="J122" s="1005" t="s">
        <v>617</v>
      </c>
      <c r="K122" s="544"/>
      <c r="AF122" s="1632">
        <v>0</v>
      </c>
    </row>
    <row customHeight="1" ht="22.5">
      <c r="A123" s="2372"/>
      <c r="D123" s="1639"/>
      <c r="E123" s="547" t="str">
        <f>FHD_NUM_P_79</f>
        <v>16</v>
      </c>
      <c r="F123" s="1881" t="str">
        <f>FHD_P_79</f>
        <v>Фактический удельный расход условного топлива при производстве тепловой энергии источниками тепловой энергии, используемыми для осуществления регулируемых видов деятельности, в целом по регулируемой организации или с распределением по источникам тепловой энергии (в зависимости от показателя (показателей), утвержденного уполномоченным органом)</v>
      </c>
      <c r="G123" s="1879" t="s">
        <v>581</v>
      </c>
      <c r="H123" s="578"/>
      <c r="I123" s="578"/>
      <c r="J123" s="290" t="str">
        <f>FHD_NOTE_P_79</f>
        <v>Регулируемыми организациями указывается информация с распределением по источникам тепловой энергии, используемым для осуществления регулируемых видов деятельности.</v>
      </c>
      <c r="K123" s="544"/>
      <c r="AF123" s="1632">
        <v>0</v>
      </c>
    </row>
    <row s="1643" customFormat="1" customHeight="1" ht="0.75">
      <c r="A124" s="2372"/>
      <c r="D124" s="549"/>
      <c r="E124" s="1014" t="str">
        <f>E123&amp;".0"</f>
        <v>16.0</v>
      </c>
      <c r="F124" s="999"/>
      <c r="G124" s="1652"/>
      <c r="H124" s="993"/>
      <c r="I124" s="993"/>
      <c r="J124" s="997"/>
      <c r="AF124" s="1637">
        <v>0</v>
      </c>
    </row>
    <row customHeight="1" ht="15">
      <c r="A125" s="2372"/>
      <c r="D125" s="1634"/>
      <c r="E125" s="571"/>
      <c r="F125" s="1169" t="s">
        <v>605</v>
      </c>
      <c r="G125" s="573"/>
      <c r="H125" s="574"/>
      <c r="I125" s="574"/>
      <c r="J125" s="1005" t="s">
        <v>618</v>
      </c>
      <c r="K125" s="544"/>
      <c r="AF125" s="1632">
        <v>0</v>
      </c>
    </row>
    <row customHeight="1" ht="22.5">
      <c r="A126" s="2372"/>
      <c r="D126" s="1639"/>
      <c r="E126" s="547" t="str">
        <f>FHD_NUM_P_80</f>
        <v>17</v>
      </c>
      <c r="F126" s="1881" t="str">
        <f>FHD_P_80</f>
        <v>Удельный расход электрической энергии на производство (передачу) тепловой энергии на единицу тепловой энергии, отпускаемой потребителям по договорам, заключенным в рамках осуществления регулируемых видов деятельности</v>
      </c>
      <c r="G126" s="1879" t="s">
        <v>619</v>
      </c>
      <c r="H126" s="558"/>
      <c r="I126" s="558"/>
      <c r="J126" s="290" t="str">
        <f>FHD_NOTE_P_80</f>
        <v>Регулируемыми организациями указывается информация с по договорам, заключенным в рамках осуществления регулируемой деятельности.</v>
      </c>
      <c r="K126" s="544"/>
      <c r="AF126" s="1632">
        <v>0</v>
      </c>
    </row>
    <row customHeight="1" ht="18.75">
      <c r="A127" s="2372"/>
      <c r="D127" s="1639"/>
      <c r="E127" s="547" t="str">
        <f>FHD_NUM_P_81</f>
        <v>18</v>
      </c>
      <c r="F127" s="1881" t="str">
        <f>FHD_P_81</f>
        <v>Удельный расход холодной воды на производство (передачу) тепловой энергии на единицу тепловой энергии, отпускаемой потребителям по договорам, заключенным в рамках осуществления регулируемых видов деятельности</v>
      </c>
      <c r="G127" s="1879" t="s">
        <v>620</v>
      </c>
      <c r="H127" s="558"/>
      <c r="I127" s="558"/>
      <c r="J127" s="290" t="str">
        <f>FHD_NOTE_P_81</f>
        <v>Регулируемыми организациями указывается информация с по договорам, заключенным в рамках осуществления регулируемой деятельности.</v>
      </c>
      <c r="K127" s="544"/>
      <c r="AF127" s="1632">
        <v>0</v>
      </c>
    </row>
    <row customHeight="1" ht="18.75">
      <c r="A128" s="2372"/>
      <c r="C128" s="1637" t="s">
        <v>607</v>
      </c>
      <c r="D128" s="1639"/>
      <c r="E128" s="547" t="str">
        <f>FHD_NUM_P_82</f>
        <v>19</v>
      </c>
      <c r="F128" s="1881" t="str">
        <f>FHD_P_82</f>
        <v>Информация о показателях технико-экономического состояния систем теплоснабжения (за исключением теплопотребляющих установок потребителей тепловой энергии, теплоносителя, а также источников тепловой энергии, функционирующих в режиме комбинированной выработки электрической и тепловой энергии), в т.ч.:</v>
      </c>
      <c r="G128" s="1879" t="s">
        <v>323</v>
      </c>
      <c r="H128" s="402"/>
      <c r="I128" s="402"/>
      <c r="J128" s="290" t="str">
        <f>FHD_NOTE_P_82</f>
        <v>Указывается ссылка на документ, предварительно загруженный в хранилище файлов ФГИС ЕИАС.</v>
      </c>
      <c r="K128" s="544"/>
      <c r="AF128" s="1632">
        <v>0</v>
      </c>
    </row>
    <row customHeight="1" ht="18.75">
      <c r="A129" s="2372"/>
      <c r="C129" s="1637" t="s">
        <v>607</v>
      </c>
      <c r="D129" s="1639"/>
      <c r="E129" s="547" t="str">
        <f>FHD_NUM_P_83</f>
        <v>19.1</v>
      </c>
      <c r="F129" s="1525" t="str">
        <f>FHD_P_83</f>
        <v>Информация о показателях физического износа объектов теплоснабжения</v>
      </c>
      <c r="G129" s="1879" t="s">
        <v>323</v>
      </c>
      <c r="H129" s="402"/>
      <c r="I129" s="402"/>
      <c r="J129" s="290" t="str">
        <f>FHD_NOTE_P_83</f>
        <v>Указывается ссылка на документ, предварительно загруженный в хранилище файлов ФГИС ЕИАС.</v>
      </c>
      <c r="K129" s="544"/>
      <c r="AF129" s="1632">
        <v>0</v>
      </c>
    </row>
    <row customHeight="1" ht="18.75">
      <c r="A130" s="2372"/>
      <c r="C130" s="1637" t="s">
        <v>607</v>
      </c>
      <c r="D130" s="1639"/>
      <c r="E130" s="547" t="str">
        <f>FHD_NUM_P_84</f>
        <v>19.2</v>
      </c>
      <c r="F130" s="1525" t="str">
        <f>FHD_P_84</f>
        <v>Информация о показателях энергетической эффективности объектов теплоснабжения</v>
      </c>
      <c r="G130" s="1879" t="s">
        <v>323</v>
      </c>
      <c r="H130" s="402"/>
      <c r="I130" s="402"/>
      <c r="J130" s="290" t="str">
        <f>FHD_NOTE_P_84</f>
        <v>Указывается ссылка на документ, предварительно загруженный в хранилище файлов ФГИС ЕИАС.</v>
      </c>
      <c r="K130" s="544"/>
      <c r="AF130" s="1632">
        <v>0</v>
      </c>
    </row>
    <row customHeight="1" ht="11.549999999999999">
      <c r="D131" s="1639"/>
      <c r="AF131" s="1632">
        <v>11</v>
      </c>
    </row>
    <row customHeight="1" ht="13.5">
      <c r="D132" s="1639"/>
      <c r="E132" s="337"/>
      <c r="F132" s="370"/>
      <c r="G132" s="370"/>
      <c r="H132" s="370"/>
      <c r="I132" s="1648"/>
      <c r="J132" s="582"/>
      <c r="AF132" s="1632">
        <v>13</v>
      </c>
    </row>
    <row s="1642" customFormat="1" customHeight="1" ht="11.549999999999999">
      <c r="A133" s="988"/>
      <c r="B133" s="1637"/>
      <c r="C133" s="1637"/>
      <c r="D133" s="352"/>
      <c r="F133" s="1641"/>
      <c r="G133" s="1632"/>
      <c r="H133" s="1632"/>
      <c r="I133" s="1632"/>
      <c r="K133" s="1161"/>
      <c r="L133" s="1637"/>
      <c r="M133" s="1637"/>
      <c r="N133" s="1161"/>
      <c r="O133" s="1161"/>
      <c r="P133" s="1161"/>
      <c r="Q133" s="1161"/>
      <c r="R133" s="1637"/>
      <c r="S133" s="1161"/>
      <c r="T133" s="1161"/>
      <c r="U133" s="545"/>
      <c r="V133" s="1161"/>
      <c r="W133" s="1161"/>
      <c r="X133" s="1161"/>
      <c r="Y133" s="1161"/>
      <c r="Z133" s="1161"/>
      <c r="AA133" s="1633"/>
      <c r="AB133" s="567"/>
      <c r="AC133" s="567"/>
      <c r="AD133" s="567"/>
      <c r="AE133" s="567"/>
      <c r="AF133" s="1642">
        <v>11</v>
      </c>
    </row>
    <row s="1642" customFormat="1" customHeight="1" ht="11.549999999999999">
      <c r="A134" s="988"/>
      <c r="B134" s="1637"/>
      <c r="C134" s="1637"/>
      <c r="D134" s="352"/>
      <c r="K134" s="1161"/>
      <c r="L134" s="1637"/>
      <c r="M134" s="1637"/>
      <c r="N134" s="1161"/>
      <c r="O134" s="1161"/>
      <c r="P134" s="1161"/>
      <c r="Q134" s="1161"/>
      <c r="R134" s="1637"/>
      <c r="S134" s="1161"/>
      <c r="T134" s="1161"/>
      <c r="U134" s="545"/>
      <c r="V134" s="1161"/>
      <c r="W134" s="1161"/>
      <c r="X134" s="1161"/>
      <c r="Y134" s="1161"/>
      <c r="Z134" s="1161"/>
      <c r="AA134" s="1633"/>
      <c r="AB134" s="567"/>
      <c r="AC134" s="567"/>
      <c r="AD134" s="567"/>
      <c r="AE134" s="567"/>
      <c r="AF134" s="1642">
        <v>11</v>
      </c>
    </row>
    <row s="1642" customFormat="1" customHeight="1" ht="11.549999999999999">
      <c r="A135" s="988"/>
      <c r="B135" s="1637"/>
      <c r="C135" s="1637"/>
      <c r="D135" s="352"/>
      <c r="K135" s="1161"/>
      <c r="L135" s="1637"/>
      <c r="M135" s="1637"/>
      <c r="N135" s="1161"/>
      <c r="O135" s="1161"/>
      <c r="P135" s="1161"/>
      <c r="Q135" s="1161"/>
      <c r="R135" s="1637"/>
      <c r="S135" s="1161"/>
      <c r="T135" s="1161"/>
      <c r="U135" s="545"/>
      <c r="V135" s="1161"/>
      <c r="W135" s="1161"/>
      <c r="X135" s="1161"/>
      <c r="Y135" s="1161"/>
      <c r="Z135" s="1161"/>
      <c r="AA135" s="1633"/>
      <c r="AB135" s="567"/>
      <c r="AC135" s="567"/>
      <c r="AD135" s="567"/>
      <c r="AE135" s="567"/>
      <c r="AF135" s="1642">
        <v>11</v>
      </c>
    </row>
    <row s="1642" customFormat="1" customHeight="1" ht="11.549999999999999">
      <c r="A136" s="988"/>
      <c r="B136" s="1637"/>
      <c r="C136" s="1637"/>
      <c r="D136" s="352"/>
      <c r="H136" s="567" t="str">
        <f>IF(H30-H31&lt;&gt;H72,"WARNING","")</f>
        <v/>
      </c>
      <c r="I136" s="567" t="str">
        <f>IF(I30-I31&lt;&gt;I72,"WARNING","")</f>
        <v/>
      </c>
      <c r="K136" s="1161"/>
      <c r="L136" s="1637"/>
      <c r="M136" s="1637"/>
      <c r="N136" s="1161"/>
      <c r="O136" s="1161"/>
      <c r="P136" s="1161"/>
      <c r="Q136" s="1161"/>
      <c r="R136" s="1637"/>
      <c r="S136" s="1161"/>
      <c r="T136" s="1161"/>
      <c r="U136" s="545"/>
      <c r="V136" s="1161"/>
      <c r="W136" s="1161"/>
      <c r="X136" s="1161"/>
      <c r="Y136" s="1161"/>
      <c r="Z136" s="1161"/>
      <c r="AA136" s="1633"/>
      <c r="AB136" s="567"/>
      <c r="AC136" s="567"/>
      <c r="AD136" s="567"/>
      <c r="AE136" s="567"/>
      <c r="AF136" s="1642">
        <v>11</v>
      </c>
    </row>
    <row s="1642" customFormat="1" customHeight="1" ht="11.549999999999999">
      <c r="A137" s="988"/>
      <c r="B137" s="1637"/>
      <c r="C137" s="1637"/>
      <c r="D137" s="352"/>
      <c r="K137" s="1161"/>
      <c r="L137" s="1637"/>
      <c r="M137" s="1637"/>
      <c r="N137" s="1161"/>
      <c r="O137" s="1161"/>
      <c r="P137" s="1161"/>
      <c r="Q137" s="1161"/>
      <c r="R137" s="1637"/>
      <c r="S137" s="1161"/>
      <c r="T137" s="1161"/>
      <c r="U137" s="545"/>
      <c r="V137" s="1161"/>
      <c r="W137" s="1161"/>
      <c r="X137" s="1161"/>
      <c r="Y137" s="1161"/>
      <c r="Z137" s="1161"/>
      <c r="AA137" s="1633"/>
      <c r="AB137" s="567"/>
      <c r="AC137" s="567"/>
      <c r="AD137" s="567"/>
      <c r="AE137" s="567"/>
      <c r="AF137" s="1642">
        <v>11</v>
      </c>
    </row>
    <row s="1642" customFormat="1" customHeight="1" ht="11.549999999999999">
      <c r="A138" s="988"/>
      <c r="B138" s="1637"/>
      <c r="C138" s="1637"/>
      <c r="D138" s="352"/>
      <c r="K138" s="1161"/>
      <c r="L138" s="1637"/>
      <c r="M138" s="1637"/>
      <c r="N138" s="1161"/>
      <c r="O138" s="1161"/>
      <c r="P138" s="1161"/>
      <c r="Q138" s="1161"/>
      <c r="R138" s="1637"/>
      <c r="S138" s="1161"/>
      <c r="T138" s="1161"/>
      <c r="U138" s="545"/>
      <c r="V138" s="1161"/>
      <c r="W138" s="1161"/>
      <c r="X138" s="1161"/>
      <c r="Y138" s="1161"/>
      <c r="Z138" s="1161"/>
      <c r="AA138" s="1633"/>
      <c r="AB138" s="567"/>
      <c r="AC138" s="567"/>
      <c r="AD138" s="567"/>
      <c r="AE138" s="567"/>
      <c r="AF138" s="1642">
        <v>11</v>
      </c>
    </row>
    <row s="1642" customFormat="1" customHeight="1" ht="11.549999999999999">
      <c r="A139" s="988"/>
      <c r="B139" s="1637"/>
      <c r="C139" s="1637"/>
      <c r="D139" s="352"/>
      <c r="K139" s="1161"/>
      <c r="L139" s="1637"/>
      <c r="M139" s="1637"/>
      <c r="N139" s="1161"/>
      <c r="O139" s="1161"/>
      <c r="P139" s="1161"/>
      <c r="Q139" s="1161"/>
      <c r="R139" s="1637"/>
      <c r="S139" s="1161"/>
      <c r="T139" s="1161"/>
      <c r="U139" s="545"/>
      <c r="V139" s="1161"/>
      <c r="W139" s="1161"/>
      <c r="X139" s="1161"/>
      <c r="Y139" s="1161"/>
      <c r="Z139" s="1161"/>
      <c r="AA139" s="1633"/>
      <c r="AB139" s="567"/>
      <c r="AC139" s="567"/>
      <c r="AD139" s="567"/>
      <c r="AE139" s="567"/>
      <c r="AF139" s="1642">
        <v>11</v>
      </c>
    </row>
    <row s="1642" customFormat="1" customHeight="1" ht="11.549999999999999">
      <c r="A140" s="988"/>
      <c r="B140" s="1637"/>
      <c r="C140" s="1637"/>
      <c r="D140" s="352"/>
      <c r="K140" s="1161"/>
      <c r="L140" s="1637"/>
      <c r="M140" s="1637"/>
      <c r="N140" s="1161"/>
      <c r="O140" s="1161"/>
      <c r="P140" s="1161"/>
      <c r="Q140" s="1161"/>
      <c r="R140" s="1637"/>
      <c r="S140" s="1161"/>
      <c r="T140" s="1161"/>
      <c r="U140" s="545"/>
      <c r="V140" s="1161"/>
      <c r="W140" s="1161"/>
      <c r="X140" s="1161"/>
      <c r="Y140" s="1161"/>
      <c r="Z140" s="1161"/>
      <c r="AA140" s="1633"/>
      <c r="AB140" s="567"/>
      <c r="AC140" s="567"/>
      <c r="AD140" s="567"/>
      <c r="AE140" s="567"/>
      <c r="AF140" s="1642">
        <v>11</v>
      </c>
    </row>
    <row s="1642" customFormat="1" customHeight="1" ht="11.549999999999999">
      <c r="A141" s="988"/>
      <c r="B141" s="1637"/>
      <c r="C141" s="1637"/>
      <c r="D141" s="352"/>
      <c r="K141" s="1161"/>
      <c r="L141" s="1637"/>
      <c r="M141" s="1637"/>
      <c r="N141" s="1161"/>
      <c r="O141" s="1161"/>
      <c r="P141" s="1161"/>
      <c r="Q141" s="1161"/>
      <c r="R141" s="1637"/>
      <c r="S141" s="1161"/>
      <c r="T141" s="1161"/>
      <c r="U141" s="545"/>
      <c r="V141" s="1161"/>
      <c r="W141" s="1161"/>
      <c r="X141" s="1161"/>
      <c r="Y141" s="1161"/>
      <c r="Z141" s="1161"/>
      <c r="AA141" s="1633"/>
      <c r="AB141" s="567"/>
      <c r="AC141" s="567"/>
      <c r="AD141" s="567"/>
      <c r="AE141" s="567"/>
      <c r="AF141" s="1642">
        <v>11</v>
      </c>
    </row>
    <row s="1642" customFormat="1" customHeight="1" ht="11.549999999999999">
      <c r="A142" s="988"/>
      <c r="B142" s="1637"/>
      <c r="C142" s="1637"/>
      <c r="D142" s="352"/>
      <c r="K142" s="1161"/>
      <c r="L142" s="1637"/>
      <c r="M142" s="1637"/>
      <c r="N142" s="1161"/>
      <c r="O142" s="1161"/>
      <c r="P142" s="1161"/>
      <c r="Q142" s="1161"/>
      <c r="R142" s="1637"/>
      <c r="S142" s="1161"/>
      <c r="T142" s="1161"/>
      <c r="U142" s="545"/>
      <c r="V142" s="1161"/>
      <c r="W142" s="1161"/>
      <c r="X142" s="1161"/>
      <c r="Y142" s="1161"/>
      <c r="Z142" s="1161"/>
      <c r="AA142" s="1633"/>
      <c r="AB142" s="567"/>
      <c r="AC142" s="567"/>
      <c r="AD142" s="567"/>
      <c r="AE142" s="567"/>
      <c r="AF142" s="1642">
        <v>11</v>
      </c>
    </row>
    <row s="1642" customFormat="1" customHeight="1" ht="11.549999999999999">
      <c r="A143" s="988"/>
      <c r="B143" s="1637"/>
      <c r="C143" s="1637"/>
      <c r="D143" s="352"/>
      <c r="K143" s="1161"/>
      <c r="L143" s="1637"/>
      <c r="M143" s="1637"/>
      <c r="N143" s="1161"/>
      <c r="O143" s="1161"/>
      <c r="P143" s="1161"/>
      <c r="Q143" s="1161"/>
      <c r="R143" s="1637"/>
      <c r="S143" s="1161"/>
      <c r="T143" s="1161"/>
      <c r="U143" s="545"/>
      <c r="V143" s="1161"/>
      <c r="W143" s="1161"/>
      <c r="X143" s="1161"/>
      <c r="Y143" s="1161"/>
      <c r="Z143" s="1161"/>
      <c r="AA143" s="1633"/>
      <c r="AB143" s="567"/>
      <c r="AC143" s="567"/>
      <c r="AD143" s="567"/>
      <c r="AE143" s="567"/>
      <c r="AF143" s="1642">
        <v>11</v>
      </c>
    </row>
    <row s="1642" customFormat="1" customHeight="1" ht="11.549999999999999">
      <c r="A144" s="988"/>
      <c r="B144" s="1637"/>
      <c r="C144" s="1637"/>
      <c r="D144" s="352"/>
      <c r="K144" s="1161"/>
      <c r="L144" s="1637"/>
      <c r="M144" s="1637"/>
      <c r="N144" s="1161"/>
      <c r="O144" s="1161"/>
      <c r="P144" s="1161"/>
      <c r="Q144" s="1161"/>
      <c r="R144" s="1637"/>
      <c r="S144" s="1161"/>
      <c r="T144" s="1161"/>
      <c r="U144" s="545"/>
      <c r="V144" s="1161"/>
      <c r="W144" s="1161"/>
      <c r="X144" s="1161"/>
      <c r="Y144" s="1161"/>
      <c r="Z144" s="1161"/>
      <c r="AA144" s="1633"/>
      <c r="AB144" s="567"/>
      <c r="AC144" s="567"/>
      <c r="AD144" s="567"/>
      <c r="AE144" s="567"/>
      <c r="AF144" s="1642">
        <v>11</v>
      </c>
    </row>
    <row s="1642" customFormat="1" customHeight="1" ht="11.549999999999999">
      <c r="A145" s="988"/>
      <c r="B145" s="1637"/>
      <c r="C145" s="1637"/>
      <c r="D145" s="352"/>
      <c r="K145" s="1161"/>
      <c r="L145" s="1637"/>
      <c r="M145" s="1637"/>
      <c r="N145" s="1161"/>
      <c r="O145" s="1161"/>
      <c r="P145" s="1161"/>
      <c r="Q145" s="1161"/>
      <c r="R145" s="1637"/>
      <c r="S145" s="1161"/>
      <c r="T145" s="1161"/>
      <c r="U145" s="545"/>
      <c r="V145" s="1161"/>
      <c r="W145" s="1161"/>
      <c r="X145" s="1161"/>
      <c r="Y145" s="1161"/>
      <c r="Z145" s="1161"/>
      <c r="AA145" s="1633"/>
      <c r="AB145" s="567"/>
      <c r="AC145" s="567"/>
      <c r="AD145" s="567"/>
      <c r="AE145" s="567"/>
      <c r="AF145" s="1642">
        <v>11</v>
      </c>
    </row>
    <row s="1642" customFormat="1" customHeight="1" ht="11.549999999999999">
      <c r="A146" s="988"/>
      <c r="B146" s="1637"/>
      <c r="C146" s="1637"/>
      <c r="D146" s="352"/>
      <c r="K146" s="1161"/>
      <c r="L146" s="1637"/>
      <c r="M146" s="1637"/>
      <c r="N146" s="1161"/>
      <c r="O146" s="1161"/>
      <c r="P146" s="1161"/>
      <c r="Q146" s="1161"/>
      <c r="R146" s="1637"/>
      <c r="S146" s="1161"/>
      <c r="T146" s="1161"/>
      <c r="U146" s="545"/>
      <c r="V146" s="1161"/>
      <c r="W146" s="1161"/>
      <c r="X146" s="1161"/>
      <c r="Y146" s="1161"/>
      <c r="Z146" s="1161"/>
      <c r="AA146" s="1633"/>
      <c r="AB146" s="567"/>
      <c r="AC146" s="567"/>
      <c r="AD146" s="567"/>
      <c r="AE146" s="567"/>
      <c r="AF146" s="1642">
        <v>11</v>
      </c>
    </row>
    <row s="1642" customFormat="1" customHeight="1" ht="11.549999999999999">
      <c r="A147" s="988"/>
      <c r="B147" s="1637"/>
      <c r="C147" s="1637"/>
      <c r="D147" s="352"/>
      <c r="K147" s="1161"/>
      <c r="L147" s="1637"/>
      <c r="M147" s="1637"/>
      <c r="N147" s="1161"/>
      <c r="O147" s="1161"/>
      <c r="P147" s="1161"/>
      <c r="Q147" s="1161"/>
      <c r="R147" s="1637"/>
      <c r="S147" s="1161"/>
      <c r="T147" s="1161"/>
      <c r="U147" s="545"/>
      <c r="V147" s="1161"/>
      <c r="W147" s="1161"/>
      <c r="X147" s="1161"/>
      <c r="Y147" s="1161"/>
      <c r="Z147" s="1161"/>
      <c r="AA147" s="1633"/>
      <c r="AB147" s="567"/>
      <c r="AC147" s="567"/>
      <c r="AD147" s="567"/>
      <c r="AE147" s="567"/>
      <c r="AF147" s="1642">
        <v>11</v>
      </c>
    </row>
    <row s="1642" customFormat="1" customHeight="1" ht="11.549999999999999">
      <c r="A148" s="988"/>
      <c r="B148" s="1637"/>
      <c r="C148" s="1637"/>
      <c r="D148" s="352"/>
      <c r="K148" s="1161"/>
      <c r="L148" s="1637"/>
      <c r="M148" s="1637"/>
      <c r="N148" s="1161"/>
      <c r="O148" s="1161"/>
      <c r="P148" s="1161"/>
      <c r="Q148" s="1161"/>
      <c r="R148" s="1637"/>
      <c r="S148" s="1161"/>
      <c r="T148" s="1161"/>
      <c r="U148" s="545"/>
      <c r="V148" s="1161"/>
      <c r="W148" s="1161"/>
      <c r="X148" s="1161"/>
      <c r="Y148" s="1161"/>
      <c r="Z148" s="1161"/>
      <c r="AA148" s="1633"/>
      <c r="AB148" s="567"/>
      <c r="AC148" s="567"/>
      <c r="AD148" s="567"/>
      <c r="AE148" s="567"/>
      <c r="AF148" s="1642">
        <v>11</v>
      </c>
    </row>
    <row s="1642" customFormat="1" customHeight="1" ht="11.549999999999999">
      <c r="A149" s="988"/>
      <c r="B149" s="1637"/>
      <c r="C149" s="1637"/>
      <c r="D149" s="352"/>
      <c r="K149" s="1161"/>
      <c r="L149" s="1637"/>
      <c r="M149" s="1637"/>
      <c r="N149" s="1161"/>
      <c r="O149" s="1161"/>
      <c r="P149" s="1161"/>
      <c r="Q149" s="1161"/>
      <c r="R149" s="1637"/>
      <c r="S149" s="1161"/>
      <c r="T149" s="1161"/>
      <c r="U149" s="545"/>
      <c r="V149" s="1161"/>
      <c r="W149" s="1161"/>
      <c r="X149" s="1161"/>
      <c r="Y149" s="1161"/>
      <c r="Z149" s="1161"/>
      <c r="AA149" s="1633"/>
      <c r="AB149" s="567"/>
      <c r="AC149" s="567"/>
      <c r="AD149" s="567"/>
      <c r="AE149" s="567"/>
      <c r="AF149" s="1642">
        <v>11</v>
      </c>
    </row>
    <row s="1642" customFormat="1" customHeight="1" ht="11.549999999999999">
      <c r="A150" s="988"/>
      <c r="B150" s="1637"/>
      <c r="C150" s="1637"/>
      <c r="D150" s="352"/>
      <c r="K150" s="1161"/>
      <c r="L150" s="1637"/>
      <c r="M150" s="1637"/>
      <c r="N150" s="1161"/>
      <c r="O150" s="1161"/>
      <c r="P150" s="1161"/>
      <c r="Q150" s="1161"/>
      <c r="R150" s="1637"/>
      <c r="S150" s="1161"/>
      <c r="T150" s="1161"/>
      <c r="U150" s="545"/>
      <c r="V150" s="1161"/>
      <c r="W150" s="1161"/>
      <c r="X150" s="1161"/>
      <c r="Y150" s="1161"/>
      <c r="Z150" s="1161"/>
      <c r="AA150" s="1633"/>
      <c r="AB150" s="567"/>
      <c r="AC150" s="567"/>
      <c r="AD150" s="567"/>
      <c r="AE150" s="567"/>
      <c r="AF150" s="1642">
        <v>11</v>
      </c>
    </row>
    <row s="1642" customFormat="1" customHeight="1" ht="11.549999999999999">
      <c r="A151" s="988"/>
      <c r="B151" s="1637"/>
      <c r="C151" s="1637"/>
      <c r="D151" s="352"/>
      <c r="K151" s="1161"/>
      <c r="L151" s="1637"/>
      <c r="M151" s="1637"/>
      <c r="N151" s="1161"/>
      <c r="O151" s="1161"/>
      <c r="P151" s="1161"/>
      <c r="Q151" s="1161"/>
      <c r="R151" s="1637"/>
      <c r="S151" s="1161"/>
      <c r="T151" s="1161"/>
      <c r="U151" s="545"/>
      <c r="V151" s="1161"/>
      <c r="W151" s="1161"/>
      <c r="X151" s="1161"/>
      <c r="Y151" s="1161"/>
      <c r="Z151" s="1161"/>
      <c r="AA151" s="1633"/>
      <c r="AB151" s="567"/>
      <c r="AC151" s="567"/>
      <c r="AD151" s="567"/>
      <c r="AE151" s="567"/>
      <c r="AF151" s="1642">
        <v>11</v>
      </c>
    </row>
    <row s="1642" customFormat="1" customHeight="1" ht="11.549999999999999">
      <c r="A152" s="988"/>
      <c r="B152" s="1637"/>
      <c r="C152" s="1637"/>
      <c r="D152" s="352"/>
      <c r="K152" s="1161"/>
      <c r="L152" s="1637"/>
      <c r="M152" s="1637"/>
      <c r="N152" s="1161"/>
      <c r="O152" s="1161"/>
      <c r="P152" s="1161"/>
      <c r="Q152" s="1161"/>
      <c r="R152" s="1637"/>
      <c r="S152" s="1161"/>
      <c r="T152" s="1161"/>
      <c r="U152" s="545"/>
      <c r="V152" s="1161"/>
      <c r="W152" s="1161"/>
      <c r="X152" s="1161"/>
      <c r="Y152" s="1161"/>
      <c r="Z152" s="1161"/>
      <c r="AA152" s="1633"/>
      <c r="AB152" s="567"/>
      <c r="AC152" s="567"/>
      <c r="AD152" s="567"/>
      <c r="AE152" s="567"/>
      <c r="AF152" s="1642">
        <v>11</v>
      </c>
    </row>
    <row s="1642" customFormat="1" customHeight="1" ht="11.549999999999999">
      <c r="A153" s="988"/>
      <c r="B153" s="1637"/>
      <c r="C153" s="1637"/>
      <c r="D153" s="352"/>
      <c r="K153" s="1161"/>
      <c r="L153" s="1637"/>
      <c r="M153" s="1637"/>
      <c r="N153" s="1161"/>
      <c r="O153" s="1161"/>
      <c r="P153" s="1161"/>
      <c r="Q153" s="1161"/>
      <c r="R153" s="1637"/>
      <c r="S153" s="1161"/>
      <c r="T153" s="1161"/>
      <c r="U153" s="545"/>
      <c r="V153" s="1161"/>
      <c r="W153" s="1161"/>
      <c r="X153" s="1161"/>
      <c r="Y153" s="1161"/>
      <c r="Z153" s="1161"/>
      <c r="AA153" s="1633"/>
      <c r="AB153" s="567"/>
      <c r="AC153" s="567"/>
      <c r="AD153" s="567"/>
      <c r="AE153" s="567"/>
      <c r="AF153" s="1642">
        <v>11</v>
      </c>
    </row>
    <row s="1642" customFormat="1" customHeight="1" ht="11.549999999999999">
      <c r="A154" s="988"/>
      <c r="B154" s="1637"/>
      <c r="C154" s="1637"/>
      <c r="D154" s="352"/>
      <c r="K154" s="1161"/>
      <c r="L154" s="1637"/>
      <c r="M154" s="1637"/>
      <c r="N154" s="1161"/>
      <c r="O154" s="1161"/>
      <c r="P154" s="1161"/>
      <c r="Q154" s="1161"/>
      <c r="R154" s="1637"/>
      <c r="S154" s="1161"/>
      <c r="T154" s="1161"/>
      <c r="U154" s="545"/>
      <c r="V154" s="1161"/>
      <c r="W154" s="1161"/>
      <c r="X154" s="1161"/>
      <c r="Y154" s="1161"/>
      <c r="Z154" s="1161"/>
      <c r="AA154" s="1633"/>
      <c r="AB154" s="567"/>
      <c r="AC154" s="567"/>
      <c r="AD154" s="567"/>
      <c r="AE154" s="567"/>
      <c r="AF154" s="1642">
        <v>11</v>
      </c>
    </row>
    <row s="1642" customFormat="1" customHeight="1" ht="11.549999999999999">
      <c r="A155" s="988"/>
      <c r="B155" s="1637"/>
      <c r="C155" s="1637"/>
      <c r="D155" s="352"/>
      <c r="K155" s="1161"/>
      <c r="L155" s="1637"/>
      <c r="M155" s="1637"/>
      <c r="N155" s="1161"/>
      <c r="O155" s="1161"/>
      <c r="P155" s="1161"/>
      <c r="Q155" s="1161"/>
      <c r="R155" s="1637"/>
      <c r="S155" s="1161"/>
      <c r="T155" s="1161"/>
      <c r="U155" s="545"/>
      <c r="V155" s="1161"/>
      <c r="W155" s="1161"/>
      <c r="X155" s="1161"/>
      <c r="Y155" s="1161"/>
      <c r="Z155" s="1161"/>
      <c r="AA155" s="1633"/>
      <c r="AB155" s="567"/>
      <c r="AC155" s="567"/>
      <c r="AD155" s="567"/>
      <c r="AE155" s="567"/>
      <c r="AF155" s="1642">
        <v>11</v>
      </c>
    </row>
    <row s="1642" customFormat="1" customHeight="1" ht="11.549999999999999">
      <c r="A156" s="988"/>
      <c r="B156" s="1637"/>
      <c r="C156" s="1637"/>
      <c r="D156" s="352"/>
      <c r="K156" s="1161"/>
      <c r="L156" s="1637"/>
      <c r="M156" s="1637"/>
      <c r="N156" s="1161"/>
      <c r="O156" s="1161"/>
      <c r="P156" s="1161"/>
      <c r="Q156" s="1161"/>
      <c r="R156" s="1637"/>
      <c r="S156" s="1161"/>
      <c r="T156" s="1161"/>
      <c r="U156" s="545"/>
      <c r="V156" s="1161"/>
      <c r="W156" s="1161"/>
      <c r="X156" s="1161"/>
      <c r="Y156" s="1161"/>
      <c r="Z156" s="1161"/>
      <c r="AA156" s="1633"/>
      <c r="AB156" s="567"/>
      <c r="AC156" s="567"/>
      <c r="AD156" s="567"/>
      <c r="AE156" s="567"/>
      <c r="AF156" s="1642">
        <v>11</v>
      </c>
    </row>
    <row s="1642" customFormat="1" customHeight="1" ht="11.549999999999999">
      <c r="A157" s="988"/>
      <c r="B157" s="1637"/>
      <c r="C157" s="1637"/>
      <c r="D157" s="352"/>
      <c r="K157" s="1161"/>
      <c r="L157" s="1637"/>
      <c r="M157" s="1637"/>
      <c r="N157" s="1161"/>
      <c r="O157" s="1161"/>
      <c r="P157" s="1161"/>
      <c r="Q157" s="1161"/>
      <c r="R157" s="1637"/>
      <c r="S157" s="1161"/>
      <c r="T157" s="1161"/>
      <c r="U157" s="545"/>
      <c r="V157" s="1161"/>
      <c r="W157" s="1161"/>
      <c r="X157" s="1161"/>
      <c r="Y157" s="1161"/>
      <c r="Z157" s="1161"/>
      <c r="AA157" s="1633"/>
      <c r="AB157" s="567"/>
      <c r="AC157" s="567"/>
      <c r="AD157" s="567"/>
      <c r="AE157" s="567"/>
      <c r="AF157" s="1642">
        <v>11</v>
      </c>
    </row>
    <row s="1642" customFormat="1" customHeight="1" ht="11.549999999999999">
      <c r="A158" s="988"/>
      <c r="B158" s="1637"/>
      <c r="C158" s="1637"/>
      <c r="D158" s="352"/>
      <c r="K158" s="1161"/>
      <c r="L158" s="1637"/>
      <c r="M158" s="1637"/>
      <c r="N158" s="1161"/>
      <c r="O158" s="1161"/>
      <c r="P158" s="1161"/>
      <c r="Q158" s="1161"/>
      <c r="R158" s="1637"/>
      <c r="S158" s="1161"/>
      <c r="T158" s="1161"/>
      <c r="U158" s="545"/>
      <c r="V158" s="1161"/>
      <c r="W158" s="1161"/>
      <c r="X158" s="1161"/>
      <c r="Y158" s="1161"/>
      <c r="Z158" s="1161"/>
      <c r="AA158" s="1633"/>
      <c r="AB158" s="567"/>
      <c r="AC158" s="567"/>
      <c r="AD158" s="567"/>
      <c r="AE158" s="567"/>
      <c r="AF158" s="1642">
        <v>11</v>
      </c>
    </row>
    <row s="1642" customFormat="1" customHeight="1" ht="11.549999999999999">
      <c r="A159" s="988"/>
      <c r="B159" s="1637"/>
      <c r="C159" s="1637"/>
      <c r="D159" s="352"/>
      <c r="K159" s="1161"/>
      <c r="L159" s="1637"/>
      <c r="M159" s="1637"/>
      <c r="N159" s="1161"/>
      <c r="O159" s="1161"/>
      <c r="P159" s="1161"/>
      <c r="Q159" s="1161"/>
      <c r="R159" s="1637"/>
      <c r="S159" s="1161"/>
      <c r="T159" s="1161"/>
      <c r="U159" s="545"/>
      <c r="V159" s="1161"/>
      <c r="W159" s="1161"/>
      <c r="X159" s="1161"/>
      <c r="Y159" s="1161"/>
      <c r="Z159" s="1161"/>
      <c r="AA159" s="1633"/>
      <c r="AB159" s="567"/>
      <c r="AC159" s="567"/>
      <c r="AD159" s="567"/>
      <c r="AE159" s="567"/>
      <c r="AF159" s="1642">
        <v>11</v>
      </c>
    </row>
    <row s="1642" customFormat="1" customHeight="1" ht="11.549999999999999">
      <c r="A160" s="988"/>
      <c r="B160" s="1637"/>
      <c r="C160" s="1637"/>
      <c r="D160" s="352"/>
      <c r="K160" s="1161"/>
      <c r="L160" s="1637"/>
      <c r="M160" s="1637"/>
      <c r="N160" s="1161"/>
      <c r="O160" s="1161"/>
      <c r="P160" s="1161"/>
      <c r="Q160" s="1161"/>
      <c r="R160" s="1637"/>
      <c r="S160" s="1161"/>
      <c r="T160" s="1161"/>
      <c r="U160" s="545"/>
      <c r="V160" s="1161"/>
      <c r="W160" s="1161"/>
      <c r="X160" s="1161"/>
      <c r="Y160" s="1161"/>
      <c r="Z160" s="1161"/>
      <c r="AA160" s="1633"/>
      <c r="AB160" s="567"/>
      <c r="AC160" s="567"/>
      <c r="AD160" s="567"/>
      <c r="AE160" s="567"/>
      <c r="AF160" s="1642">
        <v>11</v>
      </c>
    </row>
    <row s="1642" customFormat="1" customHeight="1" ht="11.549999999999999">
      <c r="A161" s="988"/>
      <c r="B161" s="1637"/>
      <c r="C161" s="1637"/>
      <c r="D161" s="352"/>
      <c r="K161" s="1161"/>
      <c r="L161" s="1637"/>
      <c r="M161" s="1637"/>
      <c r="N161" s="1161"/>
      <c r="O161" s="1161"/>
      <c r="P161" s="1161"/>
      <c r="Q161" s="1161"/>
      <c r="R161" s="1637"/>
      <c r="S161" s="1161"/>
      <c r="T161" s="1161"/>
      <c r="U161" s="545"/>
      <c r="V161" s="1161"/>
      <c r="W161" s="1161"/>
      <c r="X161" s="1161"/>
      <c r="Y161" s="1161"/>
      <c r="Z161" s="1161"/>
      <c r="AA161" s="1633"/>
      <c r="AB161" s="567"/>
      <c r="AC161" s="567"/>
      <c r="AD161" s="567"/>
      <c r="AE161" s="567"/>
      <c r="AF161" s="1642">
        <v>11</v>
      </c>
    </row>
    <row s="1642" customFormat="1" customHeight="1" ht="11.549999999999999">
      <c r="A162" s="988"/>
      <c r="B162" s="1637"/>
      <c r="C162" s="1637"/>
      <c r="D162" s="352"/>
      <c r="K162" s="1161"/>
      <c r="L162" s="1637"/>
      <c r="M162" s="1637"/>
      <c r="N162" s="1161"/>
      <c r="O162" s="1161"/>
      <c r="P162" s="1161"/>
      <c r="Q162" s="1161"/>
      <c r="R162" s="1637"/>
      <c r="S162" s="1161"/>
      <c r="T162" s="1161"/>
      <c r="U162" s="545"/>
      <c r="V162" s="1161"/>
      <c r="W162" s="1161"/>
      <c r="X162" s="1161"/>
      <c r="Y162" s="1161"/>
      <c r="Z162" s="1161"/>
      <c r="AA162" s="1633"/>
      <c r="AB162" s="567"/>
      <c r="AC162" s="567"/>
      <c r="AD162" s="567"/>
      <c r="AE162" s="567"/>
      <c r="AF162" s="1642">
        <v>11</v>
      </c>
    </row>
    <row s="1642" customFormat="1" customHeight="1" ht="11.549999999999999">
      <c r="A163" s="988"/>
      <c r="B163" s="1637"/>
      <c r="C163" s="1637"/>
      <c r="D163" s="352"/>
      <c r="K163" s="1161"/>
      <c r="L163" s="1637"/>
      <c r="M163" s="1637"/>
      <c r="N163" s="1161"/>
      <c r="O163" s="1161"/>
      <c r="P163" s="1161"/>
      <c r="Q163" s="1161"/>
      <c r="R163" s="1637"/>
      <c r="S163" s="1161"/>
      <c r="T163" s="1161"/>
      <c r="U163" s="545"/>
      <c r="V163" s="1161"/>
      <c r="W163" s="1161"/>
      <c r="X163" s="1161"/>
      <c r="Y163" s="1161"/>
      <c r="Z163" s="1161"/>
      <c r="AA163" s="1633"/>
      <c r="AB163" s="567"/>
      <c r="AC163" s="567"/>
      <c r="AD163" s="567"/>
      <c r="AE163" s="567"/>
      <c r="AF163" s="1642">
        <v>11</v>
      </c>
    </row>
    <row s="1642" customFormat="1" customHeight="1" ht="11.549999999999999">
      <c r="A164" s="988"/>
      <c r="B164" s="1637"/>
      <c r="C164" s="1637"/>
      <c r="D164" s="352"/>
      <c r="K164" s="1161"/>
      <c r="L164" s="1637"/>
      <c r="M164" s="1637"/>
      <c r="N164" s="1161"/>
      <c r="O164" s="1161"/>
      <c r="P164" s="1161"/>
      <c r="Q164" s="1161"/>
      <c r="R164" s="1637"/>
      <c r="S164" s="1161"/>
      <c r="T164" s="1161"/>
      <c r="U164" s="545"/>
      <c r="V164" s="1161"/>
      <c r="W164" s="1161"/>
      <c r="X164" s="1161"/>
      <c r="Y164" s="1161"/>
      <c r="Z164" s="1161"/>
      <c r="AA164" s="1633"/>
      <c r="AB164" s="567"/>
      <c r="AC164" s="567"/>
      <c r="AD164" s="567"/>
      <c r="AE164" s="567"/>
      <c r="AF164" s="1642">
        <v>11</v>
      </c>
    </row>
    <row s="1642" customFormat="1" customHeight="1" ht="11.549999999999999">
      <c r="A165" s="988"/>
      <c r="B165" s="1637"/>
      <c r="C165" s="1637"/>
      <c r="D165" s="352"/>
      <c r="K165" s="1161"/>
      <c r="L165" s="1637"/>
      <c r="M165" s="1637"/>
      <c r="N165" s="1161"/>
      <c r="O165" s="1161"/>
      <c r="P165" s="1161"/>
      <c r="Q165" s="1161"/>
      <c r="R165" s="1637"/>
      <c r="S165" s="1161"/>
      <c r="T165" s="1161"/>
      <c r="U165" s="545"/>
      <c r="V165" s="1161"/>
      <c r="W165" s="1161"/>
      <c r="X165" s="1161"/>
      <c r="Y165" s="1161"/>
      <c r="Z165" s="1161"/>
      <c r="AA165" s="1633"/>
      <c r="AB165" s="567"/>
      <c r="AC165" s="567"/>
      <c r="AD165" s="567"/>
      <c r="AE165" s="567"/>
      <c r="AF165" s="1642">
        <v>11</v>
      </c>
    </row>
    <row s="1642" customFormat="1" customHeight="1" ht="11.549999999999999">
      <c r="A166" s="988"/>
      <c r="B166" s="1637"/>
      <c r="C166" s="1637"/>
      <c r="D166" s="352"/>
      <c r="K166" s="1161"/>
      <c r="L166" s="1637"/>
      <c r="M166" s="1637"/>
      <c r="N166" s="1161"/>
      <c r="O166" s="1161"/>
      <c r="P166" s="1161"/>
      <c r="Q166" s="1161"/>
      <c r="R166" s="1637"/>
      <c r="S166" s="1161"/>
      <c r="T166" s="1161"/>
      <c r="U166" s="545"/>
      <c r="V166" s="1161"/>
      <c r="W166" s="1161"/>
      <c r="X166" s="1161"/>
      <c r="Y166" s="1161"/>
      <c r="Z166" s="1161"/>
      <c r="AA166" s="1633"/>
      <c r="AB166" s="567"/>
      <c r="AC166" s="567"/>
      <c r="AD166" s="567"/>
      <c r="AE166" s="567"/>
      <c r="AF166" s="1642">
        <v>11</v>
      </c>
    </row>
    <row s="1642" customFormat="1" customHeight="1" ht="11.549999999999999">
      <c r="A167" s="988"/>
      <c r="B167" s="1637"/>
      <c r="C167" s="1637"/>
      <c r="D167" s="352"/>
      <c r="K167" s="1161"/>
      <c r="L167" s="1637"/>
      <c r="M167" s="1637"/>
      <c r="N167" s="1161"/>
      <c r="O167" s="1161"/>
      <c r="P167" s="1161"/>
      <c r="Q167" s="1161"/>
      <c r="R167" s="1637"/>
      <c r="S167" s="1161"/>
      <c r="T167" s="1161"/>
      <c r="U167" s="545"/>
      <c r="V167" s="1161"/>
      <c r="W167" s="1161"/>
      <c r="X167" s="1161"/>
      <c r="Y167" s="1161"/>
      <c r="Z167" s="1161"/>
      <c r="AA167" s="1633"/>
      <c r="AB167" s="567"/>
      <c r="AC167" s="567"/>
      <c r="AD167" s="567"/>
      <c r="AE167" s="567"/>
      <c r="AF167" s="1642">
        <v>11</v>
      </c>
    </row>
    <row s="1642" customFormat="1" customHeight="1" ht="11.549999999999999">
      <c r="A168" s="988"/>
      <c r="B168" s="1637"/>
      <c r="C168" s="1637"/>
      <c r="D168" s="352"/>
      <c r="K168" s="1161"/>
      <c r="L168" s="1637"/>
      <c r="M168" s="1637"/>
      <c r="N168" s="1161"/>
      <c r="O168" s="1161"/>
      <c r="P168" s="1161"/>
      <c r="Q168" s="1161"/>
      <c r="R168" s="1637"/>
      <c r="S168" s="1161"/>
      <c r="T168" s="1161"/>
      <c r="U168" s="545"/>
      <c r="V168" s="1161"/>
      <c r="W168" s="1161"/>
      <c r="X168" s="1161"/>
      <c r="Y168" s="1161"/>
      <c r="Z168" s="1161"/>
      <c r="AA168" s="1633"/>
      <c r="AB168" s="567"/>
      <c r="AC168" s="567"/>
      <c r="AD168" s="567"/>
      <c r="AE168" s="567"/>
      <c r="AF168" s="1642">
        <v>11</v>
      </c>
    </row>
    <row s="1642" customFormat="1" customHeight="1" ht="11.549999999999999">
      <c r="A169" s="988"/>
      <c r="B169" s="1637"/>
      <c r="C169" s="1637"/>
      <c r="D169" s="352"/>
      <c r="K169" s="1161"/>
      <c r="L169" s="1637"/>
      <c r="M169" s="1637"/>
      <c r="N169" s="1161"/>
      <c r="O169" s="1161"/>
      <c r="P169" s="1161"/>
      <c r="Q169" s="1161"/>
      <c r="R169" s="1637"/>
      <c r="S169" s="1161"/>
      <c r="T169" s="1161"/>
      <c r="U169" s="545"/>
      <c r="V169" s="1161"/>
      <c r="W169" s="1161"/>
      <c r="X169" s="1161"/>
      <c r="Y169" s="1161"/>
      <c r="Z169" s="1161"/>
      <c r="AA169" s="1633"/>
      <c r="AB169" s="567"/>
      <c r="AC169" s="567"/>
      <c r="AD169" s="567"/>
      <c r="AE169" s="567"/>
      <c r="AF169" s="1642">
        <v>11</v>
      </c>
    </row>
    <row s="1642" customFormat="1" customHeight="1" ht="11.549999999999999">
      <c r="A170" s="988"/>
      <c r="B170" s="1637"/>
      <c r="C170" s="1637"/>
      <c r="D170" s="352"/>
      <c r="K170" s="1161"/>
      <c r="L170" s="1637"/>
      <c r="M170" s="1637"/>
      <c r="N170" s="1161"/>
      <c r="O170" s="1161"/>
      <c r="P170" s="1161"/>
      <c r="Q170" s="1161"/>
      <c r="R170" s="1637"/>
      <c r="S170" s="1161"/>
      <c r="T170" s="1161"/>
      <c r="U170" s="545"/>
      <c r="V170" s="1161"/>
      <c r="W170" s="1161"/>
      <c r="X170" s="1161"/>
      <c r="Y170" s="1161"/>
      <c r="Z170" s="1161"/>
      <c r="AA170" s="1633"/>
      <c r="AB170" s="567"/>
      <c r="AC170" s="567"/>
      <c r="AD170" s="567"/>
      <c r="AE170" s="567"/>
      <c r="AF170" s="1642">
        <v>11</v>
      </c>
    </row>
    <row s="1642" customFormat="1" customHeight="1" ht="11.549999999999999">
      <c r="A171" s="988"/>
      <c r="B171" s="1637"/>
      <c r="C171" s="1637"/>
      <c r="D171" s="352"/>
      <c r="K171" s="1161"/>
      <c r="L171" s="1637"/>
      <c r="M171" s="1637"/>
      <c r="N171" s="1161"/>
      <c r="O171" s="1161"/>
      <c r="P171" s="1161"/>
      <c r="Q171" s="1161"/>
      <c r="R171" s="1637"/>
      <c r="S171" s="1161"/>
      <c r="T171" s="1161"/>
      <c r="U171" s="545"/>
      <c r="V171" s="1161"/>
      <c r="W171" s="1161"/>
      <c r="X171" s="1161"/>
      <c r="Y171" s="1161"/>
      <c r="Z171" s="1161"/>
      <c r="AA171" s="1633"/>
      <c r="AB171" s="567"/>
      <c r="AC171" s="567"/>
      <c r="AD171" s="567"/>
      <c r="AE171" s="567"/>
      <c r="AF171" s="1642">
        <v>11</v>
      </c>
    </row>
    <row s="1642" customFormat="1" customHeight="1" ht="11.549999999999999">
      <c r="A172" s="988"/>
      <c r="B172" s="1637"/>
      <c r="C172" s="1637"/>
      <c r="D172" s="352"/>
      <c r="K172" s="1161"/>
      <c r="L172" s="1637"/>
      <c r="M172" s="1637"/>
      <c r="N172" s="1161"/>
      <c r="O172" s="1161"/>
      <c r="P172" s="1161"/>
      <c r="Q172" s="1161"/>
      <c r="R172" s="1637"/>
      <c r="S172" s="1161"/>
      <c r="T172" s="1161"/>
      <c r="U172" s="545"/>
      <c r="V172" s="1161"/>
      <c r="W172" s="1161"/>
      <c r="X172" s="1161"/>
      <c r="Y172" s="1161"/>
      <c r="Z172" s="1161"/>
      <c r="AA172" s="1633"/>
      <c r="AB172" s="567"/>
      <c r="AC172" s="567"/>
      <c r="AD172" s="567"/>
      <c r="AE172" s="567"/>
      <c r="AF172" s="1642">
        <v>11</v>
      </c>
    </row>
    <row s="1642" customFormat="1" customHeight="1" ht="11.549999999999999">
      <c r="A173" s="988"/>
      <c r="B173" s="1637"/>
      <c r="C173" s="1637"/>
      <c r="D173" s="352"/>
      <c r="K173" s="1161"/>
      <c r="L173" s="1637"/>
      <c r="M173" s="1637"/>
      <c r="N173" s="1161"/>
      <c r="O173" s="1161"/>
      <c r="P173" s="1161"/>
      <c r="Q173" s="1161"/>
      <c r="R173" s="1637"/>
      <c r="S173" s="1161"/>
      <c r="T173" s="1161"/>
      <c r="U173" s="545"/>
      <c r="V173" s="1161"/>
      <c r="W173" s="1161"/>
      <c r="X173" s="1161"/>
      <c r="Y173" s="1161"/>
      <c r="Z173" s="1161"/>
      <c r="AA173" s="1633"/>
      <c r="AB173" s="567"/>
      <c r="AC173" s="567"/>
      <c r="AD173" s="567"/>
      <c r="AE173" s="567"/>
      <c r="AF173" s="1642">
        <v>11</v>
      </c>
    </row>
    <row s="1642" customFormat="1" customHeight="1" ht="11.549999999999999">
      <c r="A174" s="988"/>
      <c r="B174" s="1637"/>
      <c r="C174" s="1637"/>
      <c r="D174" s="352"/>
      <c r="K174" s="1161"/>
      <c r="L174" s="1637"/>
      <c r="M174" s="1637"/>
      <c r="N174" s="1161"/>
      <c r="O174" s="1161"/>
      <c r="P174" s="1161"/>
      <c r="Q174" s="1161"/>
      <c r="R174" s="1637"/>
      <c r="S174" s="1161"/>
      <c r="T174" s="1161"/>
      <c r="U174" s="545"/>
      <c r="V174" s="1161"/>
      <c r="W174" s="1161"/>
      <c r="X174" s="1161"/>
      <c r="Y174" s="1161"/>
      <c r="Z174" s="1161"/>
      <c r="AA174" s="1633"/>
      <c r="AB174" s="567"/>
      <c r="AC174" s="567"/>
      <c r="AD174" s="567"/>
      <c r="AE174" s="567"/>
      <c r="AF174" s="1642">
        <v>11</v>
      </c>
    </row>
    <row s="1642" customFormat="1" customHeight="1" ht="11.549999999999999">
      <c r="A175" s="988"/>
      <c r="B175" s="1637"/>
      <c r="C175" s="1637"/>
      <c r="D175" s="352"/>
      <c r="K175" s="1161"/>
      <c r="L175" s="1637"/>
      <c r="M175" s="1637"/>
      <c r="N175" s="1161"/>
      <c r="O175" s="1161"/>
      <c r="P175" s="1161"/>
      <c r="Q175" s="1161"/>
      <c r="R175" s="1637"/>
      <c r="S175" s="1161"/>
      <c r="T175" s="1161"/>
      <c r="U175" s="545"/>
      <c r="V175" s="1161"/>
      <c r="W175" s="1161"/>
      <c r="X175" s="1161"/>
      <c r="Y175" s="1161"/>
      <c r="Z175" s="1161"/>
      <c r="AA175" s="1633"/>
      <c r="AB175" s="567"/>
      <c r="AC175" s="567"/>
      <c r="AD175" s="567"/>
      <c r="AE175" s="567"/>
      <c r="AF175" s="1642">
        <v>11</v>
      </c>
    </row>
    <row s="1642" customFormat="1" customHeight="1" ht="11.549999999999999">
      <c r="A176" s="988"/>
      <c r="B176" s="1637"/>
      <c r="C176" s="1637"/>
      <c r="D176" s="352"/>
      <c r="K176" s="1161"/>
      <c r="L176" s="1637"/>
      <c r="M176" s="1637"/>
      <c r="N176" s="1161"/>
      <c r="O176" s="1161"/>
      <c r="P176" s="1161"/>
      <c r="Q176" s="1161"/>
      <c r="R176" s="1637"/>
      <c r="S176" s="1161"/>
      <c r="T176" s="1161"/>
      <c r="U176" s="545"/>
      <c r="V176" s="1161"/>
      <c r="W176" s="1161"/>
      <c r="X176" s="1161"/>
      <c r="Y176" s="1161"/>
      <c r="Z176" s="1161"/>
      <c r="AA176" s="1633"/>
      <c r="AB176" s="567"/>
      <c r="AC176" s="567"/>
      <c r="AD176" s="567"/>
      <c r="AE176" s="567"/>
      <c r="AF176" s="1642">
        <v>11</v>
      </c>
    </row>
    <row s="1642" customFormat="1" customHeight="1" ht="11.549999999999999">
      <c r="A177" s="988"/>
      <c r="B177" s="1637"/>
      <c r="C177" s="1637"/>
      <c r="D177" s="352"/>
      <c r="K177" s="1161"/>
      <c r="L177" s="1637"/>
      <c r="M177" s="1637"/>
      <c r="N177" s="1161"/>
      <c r="O177" s="1161"/>
      <c r="P177" s="1161"/>
      <c r="Q177" s="1161"/>
      <c r="R177" s="1637"/>
      <c r="S177" s="1161"/>
      <c r="T177" s="1161"/>
      <c r="U177" s="545"/>
      <c r="V177" s="1161"/>
      <c r="W177" s="1161"/>
      <c r="X177" s="1161"/>
      <c r="Y177" s="1161"/>
      <c r="Z177" s="1161"/>
      <c r="AA177" s="1633"/>
      <c r="AB177" s="567"/>
      <c r="AC177" s="567"/>
      <c r="AD177" s="567"/>
      <c r="AE177" s="567"/>
      <c r="AF177" s="1642">
        <v>11</v>
      </c>
    </row>
    <row s="1642" customFormat="1" customHeight="1" ht="11.549999999999999">
      <c r="A178" s="988"/>
      <c r="B178" s="1637"/>
      <c r="C178" s="1637"/>
      <c r="D178" s="352"/>
      <c r="K178" s="1161"/>
      <c r="L178" s="1637"/>
      <c r="M178" s="1637"/>
      <c r="N178" s="1161"/>
      <c r="O178" s="1161"/>
      <c r="P178" s="1161"/>
      <c r="Q178" s="1161"/>
      <c r="R178" s="1637"/>
      <c r="S178" s="1161"/>
      <c r="T178" s="1161"/>
      <c r="U178" s="545"/>
      <c r="V178" s="1161"/>
      <c r="W178" s="1161"/>
      <c r="X178" s="1161"/>
      <c r="Y178" s="1161"/>
      <c r="Z178" s="1161"/>
      <c r="AA178" s="1633"/>
      <c r="AB178" s="567"/>
      <c r="AC178" s="567"/>
      <c r="AD178" s="567"/>
      <c r="AE178" s="567"/>
      <c r="AF178" s="1642">
        <v>11</v>
      </c>
    </row>
    <row s="1642" customFormat="1" customHeight="1" ht="11.549999999999999">
      <c r="A179" s="988"/>
      <c r="B179" s="1637"/>
      <c r="C179" s="1637"/>
      <c r="D179" s="352"/>
      <c r="K179" s="1161"/>
      <c r="L179" s="1637"/>
      <c r="M179" s="1637"/>
      <c r="N179" s="1161"/>
      <c r="O179" s="1161"/>
      <c r="P179" s="1161"/>
      <c r="Q179" s="1161"/>
      <c r="R179" s="1637"/>
      <c r="S179" s="1161"/>
      <c r="T179" s="1161"/>
      <c r="U179" s="545"/>
      <c r="V179" s="1161"/>
      <c r="W179" s="1161"/>
      <c r="X179" s="1161"/>
      <c r="Y179" s="1161"/>
      <c r="Z179" s="1161"/>
      <c r="AA179" s="1633"/>
      <c r="AB179" s="567"/>
      <c r="AC179" s="567"/>
      <c r="AD179" s="567"/>
      <c r="AE179" s="567"/>
      <c r="AF179" s="1642">
        <v>11</v>
      </c>
    </row>
    <row s="1642" customFormat="1" customHeight="1" ht="11.549999999999999">
      <c r="A180" s="988"/>
      <c r="B180" s="1637"/>
      <c r="C180" s="1637"/>
      <c r="D180" s="352"/>
      <c r="K180" s="1161"/>
      <c r="L180" s="1637"/>
      <c r="M180" s="1637"/>
      <c r="N180" s="1161"/>
      <c r="O180" s="1161"/>
      <c r="P180" s="1161"/>
      <c r="Q180" s="1161"/>
      <c r="R180" s="1637"/>
      <c r="S180" s="1161"/>
      <c r="T180" s="1161"/>
      <c r="U180" s="545"/>
      <c r="V180" s="1161"/>
      <c r="W180" s="1161"/>
      <c r="X180" s="1161"/>
      <c r="Y180" s="1161"/>
      <c r="Z180" s="1161"/>
      <c r="AA180" s="1633"/>
      <c r="AB180" s="567"/>
      <c r="AC180" s="567"/>
      <c r="AD180" s="567"/>
      <c r="AE180" s="567"/>
      <c r="AF180" s="1642">
        <v>11</v>
      </c>
    </row>
    <row s="1642" customFormat="1" customHeight="1" ht="11.549999999999999">
      <c r="A181" s="988"/>
      <c r="B181" s="1637"/>
      <c r="C181" s="1637"/>
      <c r="D181" s="352"/>
      <c r="K181" s="1161"/>
      <c r="L181" s="1637"/>
      <c r="M181" s="1637"/>
      <c r="N181" s="1161"/>
      <c r="O181" s="1161"/>
      <c r="P181" s="1161"/>
      <c r="Q181" s="1161"/>
      <c r="R181" s="1637"/>
      <c r="S181" s="1161"/>
      <c r="T181" s="1161"/>
      <c r="U181" s="545"/>
      <c r="V181" s="1161"/>
      <c r="W181" s="1161"/>
      <c r="X181" s="1161"/>
      <c r="Y181" s="1161"/>
      <c r="Z181" s="1161"/>
      <c r="AA181" s="1633"/>
      <c r="AB181" s="567"/>
      <c r="AC181" s="567"/>
      <c r="AD181" s="567"/>
      <c r="AE181" s="567"/>
      <c r="AF181" s="1642">
        <v>11</v>
      </c>
    </row>
    <row s="1642" customFormat="1" customHeight="1" ht="11.549999999999999">
      <c r="A182" s="988"/>
      <c r="B182" s="1637"/>
      <c r="C182" s="1637"/>
      <c r="D182" s="352"/>
      <c r="K182" s="1161"/>
      <c r="L182" s="1637"/>
      <c r="M182" s="1637"/>
      <c r="N182" s="1161"/>
      <c r="O182" s="1161"/>
      <c r="P182" s="1161"/>
      <c r="Q182" s="1161"/>
      <c r="R182" s="1637"/>
      <c r="S182" s="1161"/>
      <c r="T182" s="1161"/>
      <c r="U182" s="545"/>
      <c r="V182" s="1161"/>
      <c r="W182" s="1161"/>
      <c r="X182" s="1161"/>
      <c r="Y182" s="1161"/>
      <c r="Z182" s="1161"/>
      <c r="AA182" s="1633"/>
      <c r="AB182" s="567"/>
      <c r="AC182" s="567"/>
      <c r="AD182" s="567"/>
      <c r="AE182" s="567"/>
      <c r="AF182" s="1642">
        <v>11</v>
      </c>
    </row>
    <row s="1642" customFormat="1" customHeight="1" ht="11.549999999999999">
      <c r="A183" s="988"/>
      <c r="B183" s="1637"/>
      <c r="C183" s="1637"/>
      <c r="D183" s="352"/>
      <c r="K183" s="1161"/>
      <c r="L183" s="1637"/>
      <c r="M183" s="1637"/>
      <c r="N183" s="1161"/>
      <c r="O183" s="1161"/>
      <c r="P183" s="1161"/>
      <c r="Q183" s="1161"/>
      <c r="R183" s="1637"/>
      <c r="S183" s="1161"/>
      <c r="T183" s="1161"/>
      <c r="U183" s="545"/>
      <c r="V183" s="1161"/>
      <c r="W183" s="1161"/>
      <c r="X183" s="1161"/>
      <c r="Y183" s="1161"/>
      <c r="Z183" s="1161"/>
      <c r="AA183" s="1633"/>
      <c r="AB183" s="567"/>
      <c r="AC183" s="567"/>
      <c r="AD183" s="567"/>
      <c r="AE183" s="567"/>
      <c r="AF183" s="1642">
        <v>11</v>
      </c>
    </row>
    <row s="1642" customFormat="1" customHeight="1" ht="11.549999999999999">
      <c r="A184" s="988"/>
      <c r="B184" s="1637"/>
      <c r="C184" s="1637"/>
      <c r="D184" s="352"/>
      <c r="K184" s="1161"/>
      <c r="L184" s="1637"/>
      <c r="M184" s="1637"/>
      <c r="N184" s="1161"/>
      <c r="O184" s="1161"/>
      <c r="P184" s="1161"/>
      <c r="Q184" s="1161"/>
      <c r="R184" s="1637"/>
      <c r="S184" s="1161"/>
      <c r="T184" s="1161"/>
      <c r="U184" s="545"/>
      <c r="V184" s="1161"/>
      <c r="W184" s="1161"/>
      <c r="X184" s="1161"/>
      <c r="Y184" s="1161"/>
      <c r="Z184" s="1161"/>
      <c r="AA184" s="1633"/>
      <c r="AB184" s="567"/>
      <c r="AC184" s="567"/>
      <c r="AD184" s="567"/>
      <c r="AE184" s="567"/>
      <c r="AF184" s="1642">
        <v>11</v>
      </c>
    </row>
    <row s="1642" customFormat="1" customHeight="1" ht="11.549999999999999">
      <c r="A185" s="988"/>
      <c r="B185" s="1637"/>
      <c r="C185" s="1637"/>
      <c r="D185" s="352"/>
      <c r="K185" s="1161"/>
      <c r="L185" s="1637"/>
      <c r="M185" s="1637"/>
      <c r="N185" s="1161"/>
      <c r="O185" s="1161"/>
      <c r="P185" s="1161"/>
      <c r="Q185" s="1161"/>
      <c r="R185" s="1637"/>
      <c r="S185" s="1161"/>
      <c r="T185" s="1161"/>
      <c r="U185" s="545"/>
      <c r="V185" s="1161"/>
      <c r="W185" s="1161"/>
      <c r="X185" s="1161"/>
      <c r="Y185" s="1161"/>
      <c r="Z185" s="1161"/>
      <c r="AA185" s="1633"/>
      <c r="AB185" s="567"/>
      <c r="AC185" s="567"/>
      <c r="AD185" s="567"/>
      <c r="AE185" s="567"/>
      <c r="AF185" s="1642">
        <v>11</v>
      </c>
    </row>
    <row s="1642" customFormat="1" customHeight="1" ht="11.549999999999999">
      <c r="A186" s="988"/>
      <c r="B186" s="1637"/>
      <c r="C186" s="1637"/>
      <c r="D186" s="352"/>
      <c r="K186" s="1161"/>
      <c r="L186" s="1637"/>
      <c r="M186" s="1637"/>
      <c r="N186" s="1161"/>
      <c r="O186" s="1161"/>
      <c r="P186" s="1161"/>
      <c r="Q186" s="1161"/>
      <c r="R186" s="1637"/>
      <c r="S186" s="1161"/>
      <c r="T186" s="1161"/>
      <c r="U186" s="545"/>
      <c r="V186" s="1161"/>
      <c r="W186" s="1161"/>
      <c r="X186" s="1161"/>
      <c r="Y186" s="1161"/>
      <c r="Z186" s="1161"/>
      <c r="AA186" s="1633"/>
      <c r="AB186" s="567"/>
      <c r="AC186" s="567"/>
      <c r="AD186" s="567"/>
      <c r="AE186" s="567"/>
      <c r="AF186" s="1642">
        <v>11</v>
      </c>
    </row>
    <row s="1642" customFormat="1" customHeight="1" ht="11.549999999999999">
      <c r="A187" s="988"/>
      <c r="B187" s="1637"/>
      <c r="C187" s="1637"/>
      <c r="D187" s="352"/>
      <c r="K187" s="1161"/>
      <c r="L187" s="1637"/>
      <c r="M187" s="1637"/>
      <c r="N187" s="1161"/>
      <c r="O187" s="1161"/>
      <c r="P187" s="1161"/>
      <c r="Q187" s="1161"/>
      <c r="R187" s="1637"/>
      <c r="S187" s="1161"/>
      <c r="T187" s="1161"/>
      <c r="U187" s="545"/>
      <c r="V187" s="1161"/>
      <c r="W187" s="1161"/>
      <c r="X187" s="1161"/>
      <c r="Y187" s="1161"/>
      <c r="Z187" s="1161"/>
      <c r="AA187" s="1633"/>
      <c r="AB187" s="567"/>
      <c r="AC187" s="567"/>
      <c r="AD187" s="567"/>
      <c r="AE187" s="567"/>
      <c r="AF187" s="1642">
        <v>11</v>
      </c>
    </row>
    <row s="1642" customFormat="1" customHeight="1" ht="11.549999999999999">
      <c r="A188" s="988"/>
      <c r="B188" s="1637"/>
      <c r="C188" s="1637"/>
      <c r="D188" s="352"/>
      <c r="K188" s="1161"/>
      <c r="L188" s="1637"/>
      <c r="M188" s="1637"/>
      <c r="N188" s="1161"/>
      <c r="O188" s="1161"/>
      <c r="P188" s="1161"/>
      <c r="Q188" s="1161"/>
      <c r="R188" s="1637"/>
      <c r="S188" s="1161"/>
      <c r="T188" s="1161"/>
      <c r="U188" s="545"/>
      <c r="V188" s="1161"/>
      <c r="W188" s="1161"/>
      <c r="X188" s="1161"/>
      <c r="Y188" s="1161"/>
      <c r="Z188" s="1161"/>
      <c r="AA188" s="1633"/>
      <c r="AB188" s="567"/>
      <c r="AC188" s="567"/>
      <c r="AD188" s="567"/>
      <c r="AE188" s="567"/>
      <c r="AF188" s="1642">
        <v>11</v>
      </c>
    </row>
    <row s="1642" customFormat="1" customHeight="1" ht="11.549999999999999">
      <c r="A189" s="988"/>
      <c r="B189" s="1637"/>
      <c r="C189" s="1637"/>
      <c r="D189" s="352"/>
      <c r="K189" s="1161"/>
      <c r="L189" s="1637"/>
      <c r="M189" s="1637"/>
      <c r="N189" s="1161"/>
      <c r="O189" s="1161"/>
      <c r="P189" s="1161"/>
      <c r="Q189" s="1161"/>
      <c r="R189" s="1637"/>
      <c r="S189" s="1161"/>
      <c r="T189" s="1161"/>
      <c r="U189" s="545"/>
      <c r="V189" s="1161"/>
      <c r="W189" s="1161"/>
      <c r="X189" s="1161"/>
      <c r="Y189" s="1161"/>
      <c r="Z189" s="1161"/>
      <c r="AA189" s="1633"/>
      <c r="AB189" s="567"/>
      <c r="AC189" s="567"/>
      <c r="AD189" s="567"/>
      <c r="AE189" s="567"/>
      <c r="AF189" s="1642">
        <v>11</v>
      </c>
    </row>
    <row s="1642" customFormat="1" customHeight="1" ht="11.549999999999999">
      <c r="A190" s="988"/>
      <c r="B190" s="1637"/>
      <c r="C190" s="1637"/>
      <c r="D190" s="352"/>
      <c r="K190" s="1161"/>
      <c r="L190" s="1637"/>
      <c r="M190" s="1637"/>
      <c r="N190" s="1161"/>
      <c r="O190" s="1161"/>
      <c r="P190" s="1161"/>
      <c r="Q190" s="1161"/>
      <c r="R190" s="1637"/>
      <c r="S190" s="1161"/>
      <c r="T190" s="1161"/>
      <c r="U190" s="545"/>
      <c r="V190" s="1161"/>
      <c r="W190" s="1161"/>
      <c r="X190" s="1161"/>
      <c r="Y190" s="1161"/>
      <c r="Z190" s="1161"/>
      <c r="AA190" s="1633"/>
      <c r="AB190" s="567"/>
      <c r="AC190" s="567"/>
      <c r="AD190" s="567"/>
      <c r="AE190" s="567"/>
      <c r="AF190" s="1642">
        <v>11</v>
      </c>
    </row>
    <row s="1642" customFormat="1" customHeight="1" ht="11.549999999999999">
      <c r="A191" s="988"/>
      <c r="B191" s="1637"/>
      <c r="C191" s="1637"/>
      <c r="D191" s="352"/>
      <c r="K191" s="1161"/>
      <c r="L191" s="1637"/>
      <c r="M191" s="1637"/>
      <c r="N191" s="1161"/>
      <c r="O191" s="1161"/>
      <c r="P191" s="1161"/>
      <c r="Q191" s="1161"/>
      <c r="R191" s="1637"/>
      <c r="S191" s="1161"/>
      <c r="T191" s="1161"/>
      <c r="U191" s="545"/>
      <c r="V191" s="1161"/>
      <c r="W191" s="1161"/>
      <c r="X191" s="1161"/>
      <c r="Y191" s="1161"/>
      <c r="Z191" s="1161"/>
      <c r="AA191" s="1633"/>
      <c r="AB191" s="567"/>
      <c r="AC191" s="567"/>
      <c r="AD191" s="567"/>
      <c r="AE191" s="567"/>
      <c r="AF191" s="1642">
        <v>11</v>
      </c>
    </row>
    <row s="1642" customFormat="1" customHeight="1" ht="11.549999999999999">
      <c r="A192" s="988"/>
      <c r="B192" s="1637"/>
      <c r="C192" s="1637"/>
      <c r="D192" s="352"/>
      <c r="K192" s="1161"/>
      <c r="L192" s="1637"/>
      <c r="M192" s="1637"/>
      <c r="N192" s="1161"/>
      <c r="O192" s="1161"/>
      <c r="P192" s="1161"/>
      <c r="Q192" s="1161"/>
      <c r="R192" s="1637"/>
      <c r="S192" s="1161"/>
      <c r="T192" s="1161"/>
      <c r="U192" s="545"/>
      <c r="V192" s="1161"/>
      <c r="W192" s="1161"/>
      <c r="X192" s="1161"/>
      <c r="Y192" s="1161"/>
      <c r="Z192" s="1161"/>
      <c r="AA192" s="1633"/>
      <c r="AB192" s="567"/>
      <c r="AC192" s="567"/>
      <c r="AD192" s="567"/>
      <c r="AE192" s="567"/>
      <c r="AF192" s="1642">
        <v>11</v>
      </c>
    </row>
    <row s="1642" customFormat="1" customHeight="1" ht="11.549999999999999">
      <c r="A193" s="988"/>
      <c r="B193" s="1637"/>
      <c r="C193" s="1637"/>
      <c r="D193" s="352"/>
      <c r="K193" s="1161"/>
      <c r="L193" s="1637"/>
      <c r="M193" s="1637"/>
      <c r="N193" s="1161"/>
      <c r="O193" s="1161"/>
      <c r="P193" s="1161"/>
      <c r="Q193" s="1161"/>
      <c r="R193" s="1637"/>
      <c r="S193" s="1161"/>
      <c r="T193" s="1161"/>
      <c r="U193" s="545"/>
      <c r="V193" s="1161"/>
      <c r="W193" s="1161"/>
      <c r="X193" s="1161"/>
      <c r="Y193" s="1161"/>
      <c r="Z193" s="1161"/>
      <c r="AA193" s="1633"/>
      <c r="AB193" s="567"/>
      <c r="AC193" s="567"/>
      <c r="AD193" s="567"/>
      <c r="AE193" s="567"/>
      <c r="AF193" s="1642">
        <v>11</v>
      </c>
    </row>
    <row s="1642" customFormat="1" customHeight="1" ht="11.549999999999999">
      <c r="A194" s="988"/>
      <c r="B194" s="1637"/>
      <c r="C194" s="1637"/>
      <c r="D194" s="352"/>
      <c r="K194" s="1161"/>
      <c r="L194" s="1637"/>
      <c r="M194" s="1637"/>
      <c r="N194" s="1161"/>
      <c r="O194" s="1161"/>
      <c r="P194" s="1161"/>
      <c r="Q194" s="1161"/>
      <c r="R194" s="1637"/>
      <c r="S194" s="1161"/>
      <c r="T194" s="1161"/>
      <c r="U194" s="545"/>
      <c r="V194" s="1161"/>
      <c r="W194" s="1161"/>
      <c r="X194" s="1161"/>
      <c r="Y194" s="1161"/>
      <c r="Z194" s="1161"/>
      <c r="AA194" s="1633"/>
      <c r="AB194" s="567"/>
      <c r="AC194" s="567"/>
      <c r="AD194" s="567"/>
      <c r="AE194" s="567"/>
      <c r="AF194" s="1642">
        <v>11</v>
      </c>
    </row>
    <row s="1642" customFormat="1" customHeight="1" ht="11.549999999999999">
      <c r="A195" s="988"/>
      <c r="B195" s="1637"/>
      <c r="C195" s="1637"/>
      <c r="D195" s="352"/>
      <c r="K195" s="1161"/>
      <c r="L195" s="1637"/>
      <c r="M195" s="1637"/>
      <c r="N195" s="1161"/>
      <c r="O195" s="1161"/>
      <c r="P195" s="1161"/>
      <c r="Q195" s="1161"/>
      <c r="R195" s="1637"/>
      <c r="S195" s="1161"/>
      <c r="T195" s="1161"/>
      <c r="U195" s="545"/>
      <c r="V195" s="1161"/>
      <c r="W195" s="1161"/>
      <c r="X195" s="1161"/>
      <c r="Y195" s="1161"/>
      <c r="Z195" s="1161"/>
      <c r="AA195" s="1633"/>
      <c r="AB195" s="567"/>
      <c r="AC195" s="567"/>
      <c r="AD195" s="567"/>
      <c r="AE195" s="567"/>
      <c r="AF195" s="1642">
        <v>11</v>
      </c>
    </row>
    <row s="1642" customFormat="1" customHeight="1" ht="11.549999999999999">
      <c r="A196" s="988"/>
      <c r="B196" s="1637"/>
      <c r="C196" s="1637"/>
      <c r="D196" s="352"/>
      <c r="K196" s="1161"/>
      <c r="L196" s="1637"/>
      <c r="M196" s="1637"/>
      <c r="N196" s="1161"/>
      <c r="O196" s="1161"/>
      <c r="P196" s="1161"/>
      <c r="Q196" s="1161"/>
      <c r="R196" s="1637"/>
      <c r="S196" s="1161"/>
      <c r="T196" s="1161"/>
      <c r="U196" s="545"/>
      <c r="V196" s="1161"/>
      <c r="W196" s="1161"/>
      <c r="X196" s="1161"/>
      <c r="Y196" s="1161"/>
      <c r="Z196" s="1161"/>
      <c r="AA196" s="1633"/>
      <c r="AB196" s="567"/>
      <c r="AC196" s="567"/>
      <c r="AD196" s="567"/>
      <c r="AE196" s="567"/>
      <c r="AF196" s="1642">
        <v>11</v>
      </c>
    </row>
    <row s="1642" customFormat="1" customHeight="1" ht="11.549999999999999">
      <c r="A197" s="988"/>
      <c r="B197" s="1637"/>
      <c r="C197" s="1637"/>
      <c r="D197" s="352"/>
      <c r="K197" s="1161"/>
      <c r="L197" s="1637"/>
      <c r="M197" s="1637"/>
      <c r="N197" s="1161"/>
      <c r="O197" s="1161"/>
      <c r="P197" s="1161"/>
      <c r="Q197" s="1161"/>
      <c r="R197" s="1637"/>
      <c r="S197" s="1161"/>
      <c r="T197" s="1161"/>
      <c r="U197" s="545"/>
      <c r="V197" s="1161"/>
      <c r="W197" s="1161"/>
      <c r="X197" s="1161"/>
      <c r="Y197" s="1161"/>
      <c r="Z197" s="1161"/>
      <c r="AA197" s="1633"/>
      <c r="AB197" s="567"/>
      <c r="AC197" s="567"/>
      <c r="AD197" s="567"/>
      <c r="AE197" s="567"/>
      <c r="AF197" s="1642">
        <v>11</v>
      </c>
    </row>
    <row s="1642" customFormat="1" customHeight="1" ht="11.549999999999999">
      <c r="A198" s="988"/>
      <c r="B198" s="1637"/>
      <c r="C198" s="1637"/>
      <c r="D198" s="352"/>
      <c r="K198" s="1161"/>
      <c r="L198" s="1637"/>
      <c r="M198" s="1637"/>
      <c r="N198" s="1161"/>
      <c r="O198" s="1161"/>
      <c r="P198" s="1161"/>
      <c r="Q198" s="1161"/>
      <c r="R198" s="1637"/>
      <c r="S198" s="1161"/>
      <c r="T198" s="1161"/>
      <c r="U198" s="545"/>
      <c r="V198" s="1161"/>
      <c r="W198" s="1161"/>
      <c r="X198" s="1161"/>
      <c r="Y198" s="1161"/>
      <c r="Z198" s="1161"/>
      <c r="AA198" s="1633"/>
      <c r="AB198" s="567"/>
      <c r="AC198" s="567"/>
      <c r="AD198" s="567"/>
      <c r="AE198" s="567"/>
      <c r="AF198" s="1642">
        <v>11</v>
      </c>
    </row>
    <row s="1642" customFormat="1" customHeight="1" ht="11.549999999999999">
      <c r="A199" s="988"/>
      <c r="B199" s="1637"/>
      <c r="C199" s="1637"/>
      <c r="D199" s="352"/>
      <c r="K199" s="1161"/>
      <c r="L199" s="1637"/>
      <c r="M199" s="1637"/>
      <c r="N199" s="1161"/>
      <c r="O199" s="1161"/>
      <c r="P199" s="1161"/>
      <c r="Q199" s="1161"/>
      <c r="R199" s="1637"/>
      <c r="S199" s="1161"/>
      <c r="T199" s="1161"/>
      <c r="U199" s="545"/>
      <c r="V199" s="1161"/>
      <c r="W199" s="1161"/>
      <c r="X199" s="1161"/>
      <c r="Y199" s="1161"/>
      <c r="Z199" s="1161"/>
      <c r="AA199" s="1633"/>
      <c r="AB199" s="567"/>
      <c r="AC199" s="567"/>
      <c r="AD199" s="567"/>
      <c r="AE199" s="567"/>
      <c r="AF199" s="1642">
        <v>11</v>
      </c>
    </row>
    <row s="1642" customFormat="1" customHeight="1" ht="11.549999999999999">
      <c r="A200" s="988"/>
      <c r="B200" s="1637"/>
      <c r="C200" s="1637"/>
      <c r="D200" s="352"/>
      <c r="K200" s="1161"/>
      <c r="L200" s="1637"/>
      <c r="M200" s="1637"/>
      <c r="N200" s="1161"/>
      <c r="O200" s="1161"/>
      <c r="P200" s="1161"/>
      <c r="Q200" s="1161"/>
      <c r="R200" s="1637"/>
      <c r="S200" s="1161"/>
      <c r="T200" s="1161"/>
      <c r="U200" s="545"/>
      <c r="V200" s="1161"/>
      <c r="W200" s="1161"/>
      <c r="X200" s="1161"/>
      <c r="Y200" s="1161"/>
      <c r="Z200" s="1161"/>
      <c r="AA200" s="1633"/>
      <c r="AB200" s="567"/>
      <c r="AC200" s="567"/>
      <c r="AD200" s="567"/>
      <c r="AE200" s="567"/>
      <c r="AF200" s="1642">
        <v>11</v>
      </c>
    </row>
    <row s="1642" customFormat="1" customHeight="1" ht="11.549999999999999">
      <c r="A201" s="988"/>
      <c r="B201" s="1637"/>
      <c r="C201" s="1637"/>
      <c r="D201" s="352"/>
      <c r="K201" s="1161"/>
      <c r="L201" s="1637"/>
      <c r="M201" s="1637"/>
      <c r="N201" s="1161"/>
      <c r="O201" s="1161"/>
      <c r="P201" s="1161"/>
      <c r="Q201" s="1161"/>
      <c r="R201" s="1637"/>
      <c r="S201" s="1161"/>
      <c r="T201" s="1161"/>
      <c r="U201" s="545"/>
      <c r="V201" s="1161"/>
      <c r="W201" s="1161"/>
      <c r="X201" s="1161"/>
      <c r="Y201" s="1161"/>
      <c r="Z201" s="1161"/>
      <c r="AA201" s="1633"/>
      <c r="AB201" s="567"/>
      <c r="AC201" s="567"/>
      <c r="AD201" s="567"/>
      <c r="AE201" s="567"/>
      <c r="AF201" s="1642">
        <v>11</v>
      </c>
    </row>
    <row s="1642" customFormat="1" customHeight="1" ht="11.549999999999999">
      <c r="A202" s="988"/>
      <c r="B202" s="1637"/>
      <c r="C202" s="1637"/>
      <c r="D202" s="352"/>
      <c r="K202" s="1161"/>
      <c r="L202" s="1637"/>
      <c r="M202" s="1637"/>
      <c r="N202" s="1161"/>
      <c r="O202" s="1161"/>
      <c r="P202" s="1161"/>
      <c r="Q202" s="1161"/>
      <c r="R202" s="1637"/>
      <c r="S202" s="1161"/>
      <c r="T202" s="1161"/>
      <c r="U202" s="545"/>
      <c r="V202" s="1161"/>
      <c r="W202" s="1161"/>
      <c r="X202" s="1161"/>
      <c r="Y202" s="1161"/>
      <c r="Z202" s="1161"/>
      <c r="AA202" s="1633"/>
      <c r="AB202" s="567"/>
      <c r="AC202" s="567"/>
      <c r="AD202" s="567"/>
      <c r="AE202" s="567"/>
      <c r="AF202" s="1642">
        <v>11</v>
      </c>
    </row>
    <row s="1642" customFormat="1" customHeight="1" ht="11.549999999999999">
      <c r="A203" s="988"/>
      <c r="B203" s="1637"/>
      <c r="C203" s="1637"/>
      <c r="D203" s="352"/>
      <c r="K203" s="1161"/>
      <c r="L203" s="1637"/>
      <c r="M203" s="1637"/>
      <c r="N203" s="1161"/>
      <c r="O203" s="1161"/>
      <c r="P203" s="1161"/>
      <c r="Q203" s="1161"/>
      <c r="R203" s="1637"/>
      <c r="S203" s="1161"/>
      <c r="T203" s="1161"/>
      <c r="U203" s="545"/>
      <c r="V203" s="1161"/>
      <c r="W203" s="1161"/>
      <c r="X203" s="1161"/>
      <c r="Y203" s="1161"/>
      <c r="Z203" s="1161"/>
      <c r="AA203" s="1633"/>
      <c r="AB203" s="567"/>
      <c r="AC203" s="567"/>
      <c r="AD203" s="567"/>
      <c r="AE203" s="567"/>
      <c r="AF203" s="1642">
        <v>11</v>
      </c>
    </row>
    <row s="1642" customFormat="1" customHeight="1" ht="11.549999999999999">
      <c r="A204" s="988"/>
      <c r="B204" s="1637"/>
      <c r="C204" s="1637"/>
      <c r="D204" s="352"/>
      <c r="K204" s="1161"/>
      <c r="L204" s="1637"/>
      <c r="M204" s="1637"/>
      <c r="N204" s="1161"/>
      <c r="O204" s="1161"/>
      <c r="P204" s="1161"/>
      <c r="Q204" s="1161"/>
      <c r="R204" s="1637"/>
      <c r="S204" s="1161"/>
      <c r="T204" s="1161"/>
      <c r="U204" s="545"/>
      <c r="V204" s="1161"/>
      <c r="W204" s="1161"/>
      <c r="X204" s="1161"/>
      <c r="Y204" s="1161"/>
      <c r="Z204" s="1161"/>
      <c r="AA204" s="1633"/>
      <c r="AB204" s="567"/>
      <c r="AC204" s="567"/>
      <c r="AD204" s="567"/>
      <c r="AE204" s="567"/>
      <c r="AF204" s="1642">
        <v>11</v>
      </c>
    </row>
    <row s="1642" customFormat="1" customHeight="1" ht="11.549999999999999">
      <c r="A205" s="988"/>
      <c r="B205" s="1637"/>
      <c r="C205" s="1637"/>
      <c r="D205" s="352"/>
      <c r="K205" s="1161"/>
      <c r="L205" s="1637"/>
      <c r="M205" s="1637"/>
      <c r="N205" s="1161"/>
      <c r="O205" s="1161"/>
      <c r="P205" s="1161"/>
      <c r="Q205" s="1161"/>
      <c r="R205" s="1637"/>
      <c r="S205" s="1161"/>
      <c r="T205" s="1161"/>
      <c r="U205" s="545"/>
      <c r="V205" s="1161"/>
      <c r="W205" s="1161"/>
      <c r="X205" s="1161"/>
      <c r="Y205" s="1161"/>
      <c r="Z205" s="1161"/>
      <c r="AA205" s="1633"/>
      <c r="AB205" s="567"/>
      <c r="AC205" s="567"/>
      <c r="AD205" s="567"/>
      <c r="AE205" s="567"/>
      <c r="AF205" s="1642">
        <v>11</v>
      </c>
    </row>
    <row s="1642" customFormat="1" customHeight="1" ht="11.549999999999999">
      <c r="A206" s="988"/>
      <c r="B206" s="1637"/>
      <c r="C206" s="1637"/>
      <c r="D206" s="352"/>
      <c r="K206" s="1161"/>
      <c r="L206" s="1637"/>
      <c r="M206" s="1637"/>
      <c r="N206" s="1161"/>
      <c r="O206" s="1161"/>
      <c r="P206" s="1161"/>
      <c r="Q206" s="1161"/>
      <c r="R206" s="1637"/>
      <c r="S206" s="1161"/>
      <c r="T206" s="1161"/>
      <c r="U206" s="545"/>
      <c r="V206" s="1161"/>
      <c r="W206" s="1161"/>
      <c r="X206" s="1161"/>
      <c r="Y206" s="1161"/>
      <c r="Z206" s="1161"/>
      <c r="AA206" s="1633"/>
      <c r="AB206" s="567"/>
      <c r="AC206" s="567"/>
      <c r="AD206" s="567"/>
      <c r="AE206" s="567"/>
      <c r="AF206" s="1642">
        <v>11</v>
      </c>
    </row>
    <row s="1642" customFormat="1" customHeight="1" ht="11.549999999999999">
      <c r="A207" s="988"/>
      <c r="B207" s="1637"/>
      <c r="C207" s="1637"/>
      <c r="D207" s="352"/>
      <c r="K207" s="1161"/>
      <c r="L207" s="1637"/>
      <c r="M207" s="1637"/>
      <c r="N207" s="1161"/>
      <c r="O207" s="1161"/>
      <c r="P207" s="1161"/>
      <c r="Q207" s="1161"/>
      <c r="R207" s="1637"/>
      <c r="S207" s="1161"/>
      <c r="T207" s="1161"/>
      <c r="U207" s="545"/>
      <c r="V207" s="1161"/>
      <c r="W207" s="1161"/>
      <c r="X207" s="1161"/>
      <c r="Y207" s="1161"/>
      <c r="Z207" s="1161"/>
      <c r="AA207" s="1633"/>
      <c r="AB207" s="567"/>
      <c r="AC207" s="567"/>
      <c r="AD207" s="567"/>
      <c r="AE207" s="567"/>
      <c r="AF207" s="1642">
        <v>11</v>
      </c>
    </row>
    <row s="1642" customFormat="1" customHeight="1" ht="11.549999999999999">
      <c r="A208" s="988"/>
      <c r="B208" s="1637"/>
      <c r="C208" s="1637"/>
      <c r="D208" s="352"/>
      <c r="K208" s="1161"/>
      <c r="L208" s="1637"/>
      <c r="M208" s="1637"/>
      <c r="N208" s="1161"/>
      <c r="O208" s="1161"/>
      <c r="P208" s="1161"/>
      <c r="Q208" s="1161"/>
      <c r="R208" s="1637"/>
      <c r="S208" s="1161"/>
      <c r="T208" s="1161"/>
      <c r="U208" s="545"/>
      <c r="V208" s="1161"/>
      <c r="W208" s="1161"/>
      <c r="X208" s="1161"/>
      <c r="Y208" s="1161"/>
      <c r="Z208" s="1161"/>
      <c r="AA208" s="1633"/>
      <c r="AB208" s="567"/>
      <c r="AC208" s="567"/>
      <c r="AD208" s="567"/>
      <c r="AE208" s="567"/>
      <c r="AF208" s="1642">
        <v>11</v>
      </c>
    </row>
    <row s="1642" customFormat="1" customHeight="1" ht="11.549999999999999">
      <c r="A209" s="988"/>
      <c r="B209" s="1637"/>
      <c r="C209" s="1637"/>
      <c r="D209" s="352"/>
      <c r="K209" s="1161"/>
      <c r="L209" s="1637"/>
      <c r="M209" s="1637"/>
      <c r="N209" s="1161"/>
      <c r="O209" s="1161"/>
      <c r="P209" s="1161"/>
      <c r="Q209" s="1161"/>
      <c r="R209" s="1637"/>
      <c r="S209" s="1161"/>
      <c r="T209" s="1161"/>
      <c r="U209" s="545"/>
      <c r="V209" s="1161"/>
      <c r="W209" s="1161"/>
      <c r="X209" s="1161"/>
      <c r="Y209" s="1161"/>
      <c r="Z209" s="1161"/>
      <c r="AA209" s="1633"/>
      <c r="AB209" s="567"/>
      <c r="AC209" s="567"/>
      <c r="AD209" s="567"/>
      <c r="AE209" s="567"/>
      <c r="AF209" s="1642">
        <v>11</v>
      </c>
    </row>
    <row s="1642" customFormat="1" customHeight="1" ht="11.549999999999999">
      <c r="A210" s="988"/>
      <c r="B210" s="1637"/>
      <c r="C210" s="1637"/>
      <c r="D210" s="352"/>
      <c r="K210" s="1161"/>
      <c r="L210" s="1637"/>
      <c r="M210" s="1637"/>
      <c r="N210" s="1161"/>
      <c r="O210" s="1161"/>
      <c r="P210" s="1161"/>
      <c r="Q210" s="1161"/>
      <c r="R210" s="1637"/>
      <c r="S210" s="1161"/>
      <c r="T210" s="1161"/>
      <c r="U210" s="545"/>
      <c r="V210" s="1161"/>
      <c r="W210" s="1161"/>
      <c r="X210" s="1161"/>
      <c r="Y210" s="1161"/>
      <c r="Z210" s="1161"/>
      <c r="AA210" s="1633"/>
      <c r="AB210" s="567"/>
      <c r="AC210" s="567"/>
      <c r="AD210" s="567"/>
      <c r="AE210" s="567"/>
      <c r="AF210" s="1642">
        <v>11</v>
      </c>
    </row>
    <row s="1642" customFormat="1" customHeight="1" ht="11.549999999999999">
      <c r="A211" s="988"/>
      <c r="B211" s="1637"/>
      <c r="C211" s="1637"/>
      <c r="D211" s="352"/>
      <c r="K211" s="1161"/>
      <c r="L211" s="1637"/>
      <c r="M211" s="1637"/>
      <c r="N211" s="1161"/>
      <c r="O211" s="1161"/>
      <c r="P211" s="1161"/>
      <c r="Q211" s="1161"/>
      <c r="R211" s="1637"/>
      <c r="S211" s="1161"/>
      <c r="T211" s="1161"/>
      <c r="U211" s="545"/>
      <c r="V211" s="1161"/>
      <c r="W211" s="1161"/>
      <c r="X211" s="1161"/>
      <c r="Y211" s="1161"/>
      <c r="Z211" s="1161"/>
      <c r="AA211" s="1633"/>
      <c r="AB211" s="567"/>
      <c r="AC211" s="567"/>
      <c r="AD211" s="567"/>
      <c r="AE211" s="567"/>
      <c r="AF211" s="1642">
        <v>11</v>
      </c>
    </row>
    <row s="1642" customFormat="1" customHeight="1" ht="11.549999999999999">
      <c r="A212" s="988"/>
      <c r="B212" s="1637"/>
      <c r="C212" s="1637"/>
      <c r="D212" s="352"/>
      <c r="K212" s="1161"/>
      <c r="L212" s="1637"/>
      <c r="M212" s="1637"/>
      <c r="N212" s="1161"/>
      <c r="O212" s="1161"/>
      <c r="P212" s="1161"/>
      <c r="Q212" s="1161"/>
      <c r="R212" s="1637"/>
      <c r="S212" s="1161"/>
      <c r="T212" s="1161"/>
      <c r="U212" s="545"/>
      <c r="V212" s="1161"/>
      <c r="W212" s="1161"/>
      <c r="X212" s="1161"/>
      <c r="Y212" s="1161"/>
      <c r="Z212" s="1161"/>
      <c r="AA212" s="1633"/>
      <c r="AB212" s="567"/>
      <c r="AC212" s="567"/>
      <c r="AD212" s="567"/>
      <c r="AE212" s="567"/>
      <c r="AF212" s="1642">
        <v>11</v>
      </c>
    </row>
    <row s="1642" customFormat="1" customHeight="1" ht="11.549999999999999">
      <c r="A213" s="988"/>
      <c r="B213" s="1637"/>
      <c r="C213" s="1637"/>
      <c r="D213" s="352"/>
      <c r="K213" s="1161"/>
      <c r="L213" s="1637"/>
      <c r="M213" s="1637"/>
      <c r="N213" s="1161"/>
      <c r="O213" s="1161"/>
      <c r="P213" s="1161"/>
      <c r="Q213" s="1161"/>
      <c r="R213" s="1637"/>
      <c r="S213" s="1161"/>
      <c r="T213" s="1161"/>
      <c r="U213" s="545"/>
      <c r="V213" s="1161"/>
      <c r="W213" s="1161"/>
      <c r="X213" s="1161"/>
      <c r="Y213" s="1161"/>
      <c r="Z213" s="1161"/>
      <c r="AA213" s="1633"/>
      <c r="AB213" s="567"/>
      <c r="AC213" s="567"/>
      <c r="AD213" s="567"/>
      <c r="AE213" s="567"/>
      <c r="AF213" s="1642">
        <v>11</v>
      </c>
    </row>
    <row s="1642" customFormat="1" customHeight="1" ht="11.549999999999999">
      <c r="A214" s="988"/>
      <c r="B214" s="1637"/>
      <c r="C214" s="1637"/>
      <c r="D214" s="352"/>
      <c r="K214" s="1161"/>
      <c r="L214" s="1637"/>
      <c r="M214" s="1637"/>
      <c r="N214" s="1161"/>
      <c r="O214" s="1161"/>
      <c r="P214" s="1161"/>
      <c r="Q214" s="1161"/>
      <c r="R214" s="1637"/>
      <c r="S214" s="1161"/>
      <c r="T214" s="1161"/>
      <c r="U214" s="545"/>
      <c r="V214" s="1161"/>
      <c r="W214" s="1161"/>
      <c r="X214" s="1161"/>
      <c r="Y214" s="1161"/>
      <c r="Z214" s="1161"/>
      <c r="AA214" s="1633"/>
      <c r="AB214" s="567"/>
      <c r="AC214" s="567"/>
      <c r="AD214" s="567"/>
      <c r="AE214" s="567"/>
      <c r="AF214" s="1642">
        <v>11</v>
      </c>
    </row>
    <row s="1642" customFormat="1" customHeight="1" ht="11.549999999999999">
      <c r="A215" s="988"/>
      <c r="B215" s="1637"/>
      <c r="C215" s="1637"/>
      <c r="D215" s="352"/>
      <c r="K215" s="1161"/>
      <c r="L215" s="1637"/>
      <c r="M215" s="1637"/>
      <c r="N215" s="1161"/>
      <c r="O215" s="1161"/>
      <c r="P215" s="1161"/>
      <c r="Q215" s="1161"/>
      <c r="R215" s="1637"/>
      <c r="S215" s="1161"/>
      <c r="T215" s="1161"/>
      <c r="U215" s="545"/>
      <c r="V215" s="1161"/>
      <c r="W215" s="1161"/>
      <c r="X215" s="1161"/>
      <c r="Y215" s="1161"/>
      <c r="Z215" s="1161"/>
      <c r="AA215" s="1633"/>
      <c r="AB215" s="567"/>
      <c r="AC215" s="567"/>
      <c r="AD215" s="567"/>
      <c r="AE215" s="567"/>
      <c r="AF215" s="1642">
        <v>11</v>
      </c>
    </row>
    <row s="1642" customFormat="1" customHeight="1" ht="11.549999999999999">
      <c r="A216" s="988"/>
      <c r="B216" s="1637"/>
      <c r="C216" s="1637"/>
      <c r="D216" s="352"/>
      <c r="K216" s="1161"/>
      <c r="L216" s="1637"/>
      <c r="M216" s="1637"/>
      <c r="N216" s="1161"/>
      <c r="O216" s="1161"/>
      <c r="P216" s="1161"/>
      <c r="Q216" s="1161"/>
      <c r="R216" s="1637"/>
      <c r="S216" s="1161"/>
      <c r="T216" s="1161"/>
      <c r="U216" s="545"/>
      <c r="V216" s="1161"/>
      <c r="W216" s="1161"/>
      <c r="X216" s="1161"/>
      <c r="Y216" s="1161"/>
      <c r="Z216" s="1161"/>
      <c r="AA216" s="1633"/>
      <c r="AB216" s="567"/>
      <c r="AC216" s="567"/>
      <c r="AD216" s="567"/>
      <c r="AE216" s="567"/>
      <c r="AF216" s="1642">
        <v>11</v>
      </c>
    </row>
    <row s="1642" customFormat="1" customHeight="1" ht="11.549999999999999">
      <c r="A217" s="988"/>
      <c r="B217" s="1637"/>
      <c r="C217" s="1637"/>
      <c r="D217" s="352"/>
      <c r="K217" s="1161"/>
      <c r="L217" s="1637"/>
      <c r="M217" s="1637"/>
      <c r="N217" s="1161"/>
      <c r="O217" s="1161"/>
      <c r="P217" s="1161"/>
      <c r="Q217" s="1161"/>
      <c r="R217" s="1637"/>
      <c r="S217" s="1161"/>
      <c r="T217" s="1161"/>
      <c r="U217" s="545"/>
      <c r="V217" s="1161"/>
      <c r="W217" s="1161"/>
      <c r="X217" s="1161"/>
      <c r="Y217" s="1161"/>
      <c r="Z217" s="1161"/>
      <c r="AA217" s="1633"/>
      <c r="AB217" s="567"/>
      <c r="AC217" s="567"/>
      <c r="AD217" s="567"/>
      <c r="AE217" s="567"/>
      <c r="AF217" s="1642">
        <v>11</v>
      </c>
    </row>
    <row s="1642" customFormat="1" customHeight="1" ht="11.549999999999999">
      <c r="A218" s="988"/>
      <c r="B218" s="1637"/>
      <c r="C218" s="1637"/>
      <c r="D218" s="352"/>
      <c r="K218" s="1161"/>
      <c r="L218" s="1637"/>
      <c r="M218" s="1637"/>
      <c r="N218" s="1161"/>
      <c r="O218" s="1161"/>
      <c r="P218" s="1161"/>
      <c r="Q218" s="1161"/>
      <c r="R218" s="1637"/>
      <c r="S218" s="1161"/>
      <c r="T218" s="1161"/>
      <c r="U218" s="545"/>
      <c r="V218" s="1161"/>
      <c r="W218" s="1161"/>
      <c r="X218" s="1161"/>
      <c r="Y218" s="1161"/>
      <c r="Z218" s="1161"/>
      <c r="AA218" s="1633"/>
      <c r="AB218" s="567"/>
      <c r="AC218" s="567"/>
      <c r="AD218" s="567"/>
      <c r="AE218" s="567"/>
      <c r="AF218" s="1642">
        <v>11</v>
      </c>
    </row>
    <row s="1642" customFormat="1" customHeight="1" ht="11.549999999999999">
      <c r="A219" s="988"/>
      <c r="B219" s="1637"/>
      <c r="C219" s="1637"/>
      <c r="D219" s="352"/>
      <c r="K219" s="1161"/>
      <c r="L219" s="1637"/>
      <c r="M219" s="1637"/>
      <c r="N219" s="1161"/>
      <c r="O219" s="1161"/>
      <c r="P219" s="1161"/>
      <c r="Q219" s="1161"/>
      <c r="R219" s="1637"/>
      <c r="S219" s="1161"/>
      <c r="T219" s="1161"/>
      <c r="U219" s="545"/>
      <c r="V219" s="1161"/>
      <c r="W219" s="1161"/>
      <c r="X219" s="1161"/>
      <c r="Y219" s="1161"/>
      <c r="Z219" s="1161"/>
      <c r="AA219" s="1633"/>
      <c r="AB219" s="567"/>
      <c r="AC219" s="567"/>
      <c r="AD219" s="567"/>
      <c r="AE219" s="567"/>
      <c r="AF219" s="1642">
        <v>11</v>
      </c>
    </row>
    <row s="1642" customFormat="1" customHeight="1" ht="11.549999999999999">
      <c r="A220" s="988"/>
      <c r="B220" s="1637"/>
      <c r="C220" s="1637"/>
      <c r="D220" s="352"/>
      <c r="K220" s="1161"/>
      <c r="L220" s="1637"/>
      <c r="M220" s="1637"/>
      <c r="N220" s="1161"/>
      <c r="O220" s="1161"/>
      <c r="P220" s="1161"/>
      <c r="Q220" s="1161"/>
      <c r="R220" s="1637"/>
      <c r="S220" s="1161"/>
      <c r="T220" s="1161"/>
      <c r="U220" s="545"/>
      <c r="V220" s="1161"/>
      <c r="W220" s="1161"/>
      <c r="X220" s="1161"/>
      <c r="Y220" s="1161"/>
      <c r="Z220" s="1161"/>
      <c r="AA220" s="1633"/>
      <c r="AB220" s="567"/>
      <c r="AC220" s="567"/>
      <c r="AD220" s="567"/>
      <c r="AE220" s="567"/>
      <c r="AF220" s="1642">
        <v>11</v>
      </c>
    </row>
    <row s="1642" customFormat="1" customHeight="1" ht="11.549999999999999">
      <c r="A221" s="988"/>
      <c r="B221" s="1637"/>
      <c r="C221" s="1637"/>
      <c r="D221" s="352"/>
      <c r="K221" s="1161"/>
      <c r="L221" s="1637"/>
      <c r="M221" s="1637"/>
      <c r="N221" s="1161"/>
      <c r="O221" s="1161"/>
      <c r="P221" s="1161"/>
      <c r="Q221" s="1161"/>
      <c r="R221" s="1637"/>
      <c r="S221" s="1161"/>
      <c r="T221" s="1161"/>
      <c r="U221" s="545"/>
      <c r="V221" s="1161"/>
      <c r="W221" s="1161"/>
      <c r="X221" s="1161"/>
      <c r="Y221" s="1161"/>
      <c r="Z221" s="1161"/>
      <c r="AA221" s="1633"/>
      <c r="AB221" s="567"/>
      <c r="AC221" s="567"/>
      <c r="AD221" s="567"/>
      <c r="AE221" s="567"/>
      <c r="AF221" s="1642">
        <v>11</v>
      </c>
    </row>
    <row s="1642" customFormat="1" customHeight="1" ht="11.549999999999999">
      <c r="A222" s="988"/>
      <c r="B222" s="1637"/>
      <c r="C222" s="1637"/>
      <c r="D222" s="352"/>
      <c r="K222" s="1161"/>
      <c r="L222" s="1637"/>
      <c r="M222" s="1637"/>
      <c r="N222" s="1161"/>
      <c r="O222" s="1161"/>
      <c r="P222" s="1161"/>
      <c r="Q222" s="1161"/>
      <c r="R222" s="1637"/>
      <c r="S222" s="1161"/>
      <c r="T222" s="1161"/>
      <c r="U222" s="545"/>
      <c r="V222" s="1161"/>
      <c r="W222" s="1161"/>
      <c r="X222" s="1161"/>
      <c r="Y222" s="1161"/>
      <c r="Z222" s="1161"/>
      <c r="AA222" s="1633"/>
      <c r="AB222" s="567"/>
      <c r="AC222" s="567"/>
      <c r="AD222" s="567"/>
      <c r="AE222" s="567"/>
      <c r="AF222" s="1642">
        <v>11</v>
      </c>
    </row>
    <row s="1642" customFormat="1" customHeight="1" ht="11.549999999999999">
      <c r="A223" s="988"/>
      <c r="B223" s="1637"/>
      <c r="C223" s="1637"/>
      <c r="D223" s="352"/>
      <c r="K223" s="1161"/>
      <c r="L223" s="1637"/>
      <c r="M223" s="1637"/>
      <c r="N223" s="1161"/>
      <c r="O223" s="1161"/>
      <c r="P223" s="1161"/>
      <c r="Q223" s="1161"/>
      <c r="R223" s="1637"/>
      <c r="S223" s="1161"/>
      <c r="T223" s="1161"/>
      <c r="U223" s="545"/>
      <c r="V223" s="1161"/>
      <c r="W223" s="1161"/>
      <c r="X223" s="1161"/>
      <c r="Y223" s="1161"/>
      <c r="Z223" s="1161"/>
      <c r="AA223" s="1633"/>
      <c r="AB223" s="567"/>
      <c r="AC223" s="567"/>
      <c r="AD223" s="567"/>
      <c r="AE223" s="567"/>
      <c r="AF223" s="1642">
        <v>11</v>
      </c>
    </row>
    <row s="1642" customFormat="1" customHeight="1" ht="11.549999999999999">
      <c r="A224" s="988"/>
      <c r="B224" s="1637"/>
      <c r="C224" s="1637"/>
      <c r="D224" s="352"/>
      <c r="K224" s="1161"/>
      <c r="L224" s="1637"/>
      <c r="M224" s="1637"/>
      <c r="N224" s="1161"/>
      <c r="O224" s="1161"/>
      <c r="P224" s="1161"/>
      <c r="Q224" s="1161"/>
      <c r="R224" s="1637"/>
      <c r="S224" s="1161"/>
      <c r="T224" s="1161"/>
      <c r="U224" s="545"/>
      <c r="V224" s="1161"/>
      <c r="W224" s="1161"/>
      <c r="X224" s="1161"/>
      <c r="Y224" s="1161"/>
      <c r="Z224" s="1161"/>
      <c r="AA224" s="1633"/>
      <c r="AB224" s="567"/>
      <c r="AC224" s="567"/>
      <c r="AD224" s="567"/>
      <c r="AE224" s="567"/>
      <c r="AF224" s="1642">
        <v>11</v>
      </c>
    </row>
    <row s="1642" customFormat="1" customHeight="1" ht="11.549999999999999">
      <c r="A225" s="988"/>
      <c r="B225" s="1637"/>
      <c r="C225" s="1637"/>
      <c r="D225" s="352"/>
      <c r="K225" s="1161"/>
      <c r="L225" s="1637"/>
      <c r="M225" s="1637"/>
      <c r="N225" s="1161"/>
      <c r="O225" s="1161"/>
      <c r="P225" s="1161"/>
      <c r="Q225" s="1161"/>
      <c r="R225" s="1637"/>
      <c r="S225" s="1161"/>
      <c r="T225" s="1161"/>
      <c r="U225" s="545"/>
      <c r="V225" s="1161"/>
      <c r="W225" s="1161"/>
      <c r="X225" s="1161"/>
      <c r="Y225" s="1161"/>
      <c r="Z225" s="1161"/>
      <c r="AA225" s="1633"/>
      <c r="AB225" s="567"/>
      <c r="AC225" s="567"/>
      <c r="AD225" s="567"/>
      <c r="AE225" s="567"/>
      <c r="AF225" s="1642">
        <v>11</v>
      </c>
    </row>
    <row s="1642" customFormat="1" customHeight="1" ht="11.549999999999999">
      <c r="A226" s="988"/>
      <c r="B226" s="1637"/>
      <c r="C226" s="1637"/>
      <c r="D226" s="352"/>
      <c r="K226" s="1161"/>
      <c r="L226" s="1637"/>
      <c r="M226" s="1637"/>
      <c r="N226" s="1161"/>
      <c r="O226" s="1161"/>
      <c r="P226" s="1161"/>
      <c r="Q226" s="1161"/>
      <c r="R226" s="1637"/>
      <c r="S226" s="1161"/>
      <c r="T226" s="1161"/>
      <c r="U226" s="545"/>
      <c r="V226" s="1161"/>
      <c r="W226" s="1161"/>
      <c r="X226" s="1161"/>
      <c r="Y226" s="1161"/>
      <c r="Z226" s="1161"/>
      <c r="AA226" s="1633"/>
      <c r="AB226" s="567"/>
      <c r="AC226" s="567"/>
      <c r="AD226" s="567"/>
      <c r="AE226" s="567"/>
      <c r="AF226" s="1642">
        <v>11</v>
      </c>
    </row>
    <row s="1642" customFormat="1" customHeight="1" ht="11.549999999999999">
      <c r="A227" s="988"/>
      <c r="B227" s="1637"/>
      <c r="C227" s="1637"/>
      <c r="D227" s="352"/>
      <c r="K227" s="1161"/>
      <c r="L227" s="1637"/>
      <c r="M227" s="1637"/>
      <c r="N227" s="1161"/>
      <c r="O227" s="1161"/>
      <c r="P227" s="1161"/>
      <c r="Q227" s="1161"/>
      <c r="R227" s="1637"/>
      <c r="S227" s="1161"/>
      <c r="T227" s="1161"/>
      <c r="U227" s="545"/>
      <c r="V227" s="1161"/>
      <c r="W227" s="1161"/>
      <c r="X227" s="1161"/>
      <c r="Y227" s="1161"/>
      <c r="Z227" s="1161"/>
      <c r="AA227" s="1633"/>
      <c r="AB227" s="567"/>
      <c r="AC227" s="567"/>
      <c r="AD227" s="567"/>
      <c r="AE227" s="567"/>
      <c r="AF227" s="1642">
        <v>11</v>
      </c>
    </row>
    <row s="1642" customFormat="1" customHeight="1" ht="11.549999999999999">
      <c r="A228" s="988"/>
      <c r="B228" s="1637"/>
      <c r="C228" s="1637"/>
      <c r="D228" s="352"/>
      <c r="K228" s="1161"/>
      <c r="L228" s="1637"/>
      <c r="M228" s="1637"/>
      <c r="N228" s="1161"/>
      <c r="O228" s="1161"/>
      <c r="P228" s="1161"/>
      <c r="Q228" s="1161"/>
      <c r="R228" s="1637"/>
      <c r="S228" s="1161"/>
      <c r="T228" s="1161"/>
      <c r="U228" s="545"/>
      <c r="V228" s="1161"/>
      <c r="W228" s="1161"/>
      <c r="X228" s="1161"/>
      <c r="Y228" s="1161"/>
      <c r="Z228" s="1161"/>
      <c r="AA228" s="1633"/>
      <c r="AB228" s="567"/>
      <c r="AC228" s="567"/>
      <c r="AD228" s="567"/>
      <c r="AE228" s="567"/>
      <c r="AF228" s="1642">
        <v>11</v>
      </c>
    </row>
    <row s="1642" customFormat="1" customHeight="1" ht="11.549999999999999">
      <c r="A229" s="988"/>
      <c r="B229" s="1637"/>
      <c r="C229" s="1637"/>
      <c r="D229" s="352"/>
      <c r="K229" s="1161"/>
      <c r="L229" s="1637"/>
      <c r="M229" s="1637"/>
      <c r="N229" s="1161"/>
      <c r="O229" s="1161"/>
      <c r="P229" s="1161"/>
      <c r="Q229" s="1161"/>
      <c r="R229" s="1637"/>
      <c r="S229" s="1161"/>
      <c r="T229" s="1161"/>
      <c r="U229" s="545"/>
      <c r="V229" s="1161"/>
      <c r="W229" s="1161"/>
      <c r="X229" s="1161"/>
      <c r="Y229" s="1161"/>
      <c r="Z229" s="1161"/>
      <c r="AA229" s="1633"/>
      <c r="AB229" s="567"/>
      <c r="AC229" s="567"/>
      <c r="AD229" s="567"/>
      <c r="AE229" s="567"/>
      <c r="AF229" s="1642">
        <v>11</v>
      </c>
    </row>
    <row s="1642" customFormat="1" customHeight="1" ht="11.549999999999999">
      <c r="A230" s="988"/>
      <c r="B230" s="1637"/>
      <c r="C230" s="1637"/>
      <c r="D230" s="352"/>
      <c r="K230" s="1161"/>
      <c r="L230" s="1637"/>
      <c r="M230" s="1637"/>
      <c r="N230" s="1161"/>
      <c r="O230" s="1161"/>
      <c r="P230" s="1161"/>
      <c r="Q230" s="1161"/>
      <c r="R230" s="1637"/>
      <c r="S230" s="1161"/>
      <c r="T230" s="1161"/>
      <c r="U230" s="545"/>
      <c r="V230" s="1161"/>
      <c r="W230" s="1161"/>
      <c r="X230" s="1161"/>
      <c r="Y230" s="1161"/>
      <c r="Z230" s="1161"/>
      <c r="AA230" s="1633"/>
      <c r="AB230" s="567"/>
      <c r="AC230" s="567"/>
      <c r="AD230" s="567"/>
      <c r="AE230" s="567"/>
      <c r="AF230" s="1642">
        <v>11</v>
      </c>
    </row>
    <row s="1642" customFormat="1" customHeight="1" ht="11.549999999999999">
      <c r="A231" s="988"/>
      <c r="B231" s="1637"/>
      <c r="C231" s="1637"/>
      <c r="D231" s="352"/>
      <c r="K231" s="1161"/>
      <c r="L231" s="1637"/>
      <c r="M231" s="1637"/>
      <c r="N231" s="1161"/>
      <c r="O231" s="1161"/>
      <c r="P231" s="1161"/>
      <c r="Q231" s="1161"/>
      <c r="R231" s="1637"/>
      <c r="S231" s="1161"/>
      <c r="T231" s="1161"/>
      <c r="U231" s="545"/>
      <c r="V231" s="1161"/>
      <c r="W231" s="1161"/>
      <c r="X231" s="1161"/>
      <c r="Y231" s="1161"/>
      <c r="Z231" s="1161"/>
      <c r="AA231" s="1633"/>
      <c r="AB231" s="567"/>
      <c r="AC231" s="567"/>
      <c r="AD231" s="567"/>
      <c r="AE231" s="567"/>
      <c r="AF231" s="1642">
        <v>11</v>
      </c>
    </row>
    <row s="1642" customFormat="1" customHeight="1" ht="11.549999999999999">
      <c r="A232" s="988"/>
      <c r="B232" s="1637"/>
      <c r="C232" s="1637"/>
      <c r="D232" s="352"/>
      <c r="K232" s="1161"/>
      <c r="L232" s="1637"/>
      <c r="M232" s="1637"/>
      <c r="N232" s="1161"/>
      <c r="O232" s="1161"/>
      <c r="P232" s="1161"/>
      <c r="Q232" s="1161"/>
      <c r="R232" s="1637"/>
      <c r="S232" s="1161"/>
      <c r="T232" s="1161"/>
      <c r="U232" s="545"/>
      <c r="V232" s="1161"/>
      <c r="W232" s="1161"/>
      <c r="X232" s="1161"/>
      <c r="Y232" s="1161"/>
      <c r="Z232" s="1161"/>
      <c r="AA232" s="1633"/>
      <c r="AB232" s="567"/>
      <c r="AC232" s="567"/>
      <c r="AD232" s="567"/>
      <c r="AE232" s="567"/>
      <c r="AF232" s="1642">
        <v>11</v>
      </c>
    </row>
    <row s="1642" customFormat="1" customHeight="1" ht="11.549999999999999">
      <c r="A233" s="988"/>
      <c r="B233" s="1637"/>
      <c r="C233" s="1637"/>
      <c r="D233" s="352"/>
      <c r="K233" s="1161"/>
      <c r="L233" s="1637"/>
      <c r="M233" s="1637"/>
      <c r="N233" s="1161"/>
      <c r="O233" s="1161"/>
      <c r="P233" s="1161"/>
      <c r="Q233" s="1161"/>
      <c r="R233" s="1637"/>
      <c r="S233" s="1161"/>
      <c r="T233" s="1161"/>
      <c r="U233" s="545"/>
      <c r="V233" s="1161"/>
      <c r="W233" s="1161"/>
      <c r="X233" s="1161"/>
      <c r="Y233" s="1161"/>
      <c r="Z233" s="1161"/>
      <c r="AA233" s="1633"/>
      <c r="AB233" s="567"/>
      <c r="AC233" s="567"/>
      <c r="AD233" s="567"/>
      <c r="AE233" s="567"/>
      <c r="AF233" s="1642">
        <v>11</v>
      </c>
    </row>
    <row s="1642" customFormat="1" customHeight="1" ht="11.549999999999999">
      <c r="A234" s="988"/>
      <c r="B234" s="1637"/>
      <c r="C234" s="1637"/>
      <c r="D234" s="352"/>
      <c r="K234" s="1161"/>
      <c r="L234" s="1637"/>
      <c r="M234" s="1637"/>
      <c r="N234" s="1161"/>
      <c r="O234" s="1161"/>
      <c r="P234" s="1161"/>
      <c r="Q234" s="1161"/>
      <c r="R234" s="1637"/>
      <c r="S234" s="1161"/>
      <c r="T234" s="1161"/>
      <c r="U234" s="545"/>
      <c r="V234" s="1161"/>
      <c r="W234" s="1161"/>
      <c r="X234" s="1161"/>
      <c r="Y234" s="1161"/>
      <c r="Z234" s="1161"/>
      <c r="AA234" s="1633"/>
      <c r="AB234" s="567"/>
      <c r="AC234" s="567"/>
      <c r="AD234" s="567"/>
      <c r="AE234" s="567"/>
      <c r="AF234" s="1642">
        <v>11</v>
      </c>
    </row>
    <row s="1642" customFormat="1" customHeight="1" ht="11.549999999999999">
      <c r="A235" s="988"/>
      <c r="B235" s="1637"/>
      <c r="C235" s="1637"/>
      <c r="D235" s="352"/>
      <c r="K235" s="1161"/>
      <c r="L235" s="1637"/>
      <c r="M235" s="1637"/>
      <c r="N235" s="1161"/>
      <c r="O235" s="1161"/>
      <c r="P235" s="1161"/>
      <c r="Q235" s="1161"/>
      <c r="R235" s="1637"/>
      <c r="S235" s="1161"/>
      <c r="T235" s="1161"/>
      <c r="U235" s="545"/>
      <c r="V235" s="1161"/>
      <c r="W235" s="1161"/>
      <c r="X235" s="1161"/>
      <c r="Y235" s="1161"/>
      <c r="Z235" s="1161"/>
      <c r="AA235" s="1633"/>
      <c r="AB235" s="567"/>
      <c r="AC235" s="567"/>
      <c r="AD235" s="567"/>
      <c r="AE235" s="567"/>
      <c r="AF235" s="1642">
        <v>11</v>
      </c>
    </row>
    <row s="1642" customFormat="1" customHeight="1" ht="11.549999999999999">
      <c r="A236" s="988"/>
      <c r="B236" s="1637"/>
      <c r="C236" s="1637"/>
      <c r="D236" s="352"/>
      <c r="K236" s="1161"/>
      <c r="L236" s="1637"/>
      <c r="M236" s="1637"/>
      <c r="N236" s="1161"/>
      <c r="O236" s="1161"/>
      <c r="P236" s="1161"/>
      <c r="Q236" s="1161"/>
      <c r="R236" s="1637"/>
      <c r="S236" s="1161"/>
      <c r="T236" s="1161"/>
      <c r="U236" s="545"/>
      <c r="V236" s="1161"/>
      <c r="W236" s="1161"/>
      <c r="X236" s="1161"/>
      <c r="Y236" s="1161"/>
      <c r="Z236" s="1161"/>
      <c r="AA236" s="1633"/>
      <c r="AB236" s="567"/>
      <c r="AC236" s="567"/>
      <c r="AD236" s="567"/>
      <c r="AE236" s="567"/>
      <c r="AF236" s="1642">
        <v>11</v>
      </c>
    </row>
    <row s="1642" customFormat="1" customHeight="1" ht="11.549999999999999">
      <c r="A237" s="988"/>
      <c r="B237" s="1637"/>
      <c r="C237" s="1637"/>
      <c r="D237" s="352"/>
      <c r="K237" s="1161"/>
      <c r="L237" s="1637"/>
      <c r="M237" s="1637"/>
      <c r="N237" s="1161"/>
      <c r="O237" s="1161"/>
      <c r="P237" s="1161"/>
      <c r="Q237" s="1161"/>
      <c r="R237" s="1637"/>
      <c r="S237" s="1161"/>
      <c r="T237" s="1161"/>
      <c r="U237" s="545"/>
      <c r="V237" s="1161"/>
      <c r="W237" s="1161"/>
      <c r="X237" s="1161"/>
      <c r="Y237" s="1161"/>
      <c r="Z237" s="1161"/>
      <c r="AA237" s="1633"/>
      <c r="AB237" s="567"/>
      <c r="AC237" s="567"/>
      <c r="AD237" s="567"/>
      <c r="AE237" s="567"/>
      <c r="AF237" s="1642">
        <v>11</v>
      </c>
    </row>
    <row s="1642" customFormat="1" customHeight="1" ht="11.549999999999999">
      <c r="A238" s="988"/>
      <c r="B238" s="1637"/>
      <c r="C238" s="1637"/>
      <c r="D238" s="352"/>
      <c r="K238" s="1161"/>
      <c r="L238" s="1637"/>
      <c r="M238" s="1637"/>
      <c r="N238" s="1161"/>
      <c r="O238" s="1161"/>
      <c r="P238" s="1161"/>
      <c r="Q238" s="1161"/>
      <c r="R238" s="1637"/>
      <c r="S238" s="1161"/>
      <c r="T238" s="1161"/>
      <c r="U238" s="545"/>
      <c r="V238" s="1161"/>
      <c r="W238" s="1161"/>
      <c r="X238" s="1161"/>
      <c r="Y238" s="1161"/>
      <c r="Z238" s="1161"/>
      <c r="AA238" s="1633"/>
      <c r="AB238" s="567"/>
      <c r="AC238" s="567"/>
      <c r="AD238" s="567"/>
      <c r="AE238" s="567"/>
      <c r="AF238" s="1642">
        <v>11</v>
      </c>
    </row>
    <row s="1642" customFormat="1" customHeight="1" ht="11.549999999999999">
      <c r="A239" s="988"/>
      <c r="B239" s="1637"/>
      <c r="C239" s="1637"/>
      <c r="D239" s="352"/>
      <c r="K239" s="1161"/>
      <c r="L239" s="1637"/>
      <c r="M239" s="1637"/>
      <c r="N239" s="1161"/>
      <c r="O239" s="1161"/>
      <c r="P239" s="1161"/>
      <c r="Q239" s="1161"/>
      <c r="R239" s="1637"/>
      <c r="S239" s="1161"/>
      <c r="T239" s="1161"/>
      <c r="U239" s="545"/>
      <c r="V239" s="1161"/>
      <c r="W239" s="1161"/>
      <c r="X239" s="1161"/>
      <c r="Y239" s="1161"/>
      <c r="Z239" s="1161"/>
      <c r="AA239" s="1633"/>
      <c r="AB239" s="567"/>
      <c r="AC239" s="567"/>
      <c r="AD239" s="567"/>
      <c r="AE239" s="567"/>
      <c r="AF239" s="1642">
        <v>11</v>
      </c>
    </row>
    <row s="1642" customFormat="1" customHeight="1" ht="11.549999999999999">
      <c r="A240" s="988"/>
      <c r="B240" s="1637"/>
      <c r="C240" s="1637"/>
      <c r="D240" s="352"/>
      <c r="K240" s="1161"/>
      <c r="L240" s="1637"/>
      <c r="M240" s="1637"/>
      <c r="N240" s="1161"/>
      <c r="O240" s="1161"/>
      <c r="P240" s="1161"/>
      <c r="Q240" s="1161"/>
      <c r="R240" s="1637"/>
      <c r="S240" s="1161"/>
      <c r="T240" s="1161"/>
      <c r="U240" s="545"/>
      <c r="V240" s="1161"/>
      <c r="W240" s="1161"/>
      <c r="X240" s="1161"/>
      <c r="Y240" s="1161"/>
      <c r="Z240" s="1161"/>
      <c r="AA240" s="1633"/>
      <c r="AB240" s="567"/>
      <c r="AC240" s="567"/>
      <c r="AD240" s="567"/>
      <c r="AE240" s="567"/>
      <c r="AF240" s="1642">
        <v>11</v>
      </c>
    </row>
    <row s="1642" customFormat="1" customHeight="1" ht="11.549999999999999">
      <c r="A241" s="988"/>
      <c r="B241" s="1637"/>
      <c r="C241" s="1637"/>
      <c r="D241" s="352"/>
      <c r="K241" s="1161"/>
      <c r="L241" s="1637"/>
      <c r="M241" s="1637"/>
      <c r="N241" s="1161"/>
      <c r="O241" s="1161"/>
      <c r="P241" s="1161"/>
      <c r="Q241" s="1161"/>
      <c r="R241" s="1637"/>
      <c r="S241" s="1161"/>
      <c r="T241" s="1161"/>
      <c r="U241" s="545"/>
      <c r="V241" s="1161"/>
      <c r="W241" s="1161"/>
      <c r="X241" s="1161"/>
      <c r="Y241" s="1161"/>
      <c r="Z241" s="1161"/>
      <c r="AA241" s="1633"/>
      <c r="AB241" s="567"/>
      <c r="AC241" s="567"/>
      <c r="AD241" s="567"/>
      <c r="AE241" s="567"/>
      <c r="AF241" s="1642">
        <v>11</v>
      </c>
    </row>
    <row s="1642" customFormat="1" customHeight="1" ht="11.549999999999999">
      <c r="A242" s="988"/>
      <c r="B242" s="1637"/>
      <c r="C242" s="1637"/>
      <c r="D242" s="352"/>
      <c r="K242" s="1161"/>
      <c r="L242" s="1637"/>
      <c r="M242" s="1637"/>
      <c r="N242" s="1161"/>
      <c r="O242" s="1161"/>
      <c r="P242" s="1161"/>
      <c r="Q242" s="1161"/>
      <c r="R242" s="1637"/>
      <c r="S242" s="1161"/>
      <c r="T242" s="1161"/>
      <c r="U242" s="545"/>
      <c r="V242" s="1161"/>
      <c r="W242" s="1161"/>
      <c r="X242" s="1161"/>
      <c r="Y242" s="1161"/>
      <c r="Z242" s="1161"/>
      <c r="AA242" s="1633"/>
      <c r="AB242" s="567"/>
      <c r="AC242" s="567"/>
      <c r="AD242" s="567"/>
      <c r="AE242" s="567"/>
      <c r="AF242" s="1642">
        <v>11</v>
      </c>
    </row>
    <row s="1642" customFormat="1" customHeight="1" ht="11.549999999999999">
      <c r="A243" s="988"/>
      <c r="B243" s="1637"/>
      <c r="C243" s="1637"/>
      <c r="D243" s="352"/>
      <c r="K243" s="1161"/>
      <c r="L243" s="1637"/>
      <c r="M243" s="1637"/>
      <c r="N243" s="1161"/>
      <c r="O243" s="1161"/>
      <c r="P243" s="1161"/>
      <c r="Q243" s="1161"/>
      <c r="R243" s="1637"/>
      <c r="S243" s="1161"/>
      <c r="T243" s="1161"/>
      <c r="U243" s="545"/>
      <c r="V243" s="1161"/>
      <c r="W243" s="1161"/>
      <c r="X243" s="1161"/>
      <c r="Y243" s="1161"/>
      <c r="Z243" s="1161"/>
      <c r="AA243" s="1633"/>
      <c r="AB243" s="567"/>
      <c r="AC243" s="567"/>
      <c r="AD243" s="567"/>
      <c r="AE243" s="567"/>
      <c r="AF243" s="1642">
        <v>11</v>
      </c>
    </row>
    <row s="1642" customFormat="1" customHeight="1" ht="11.549999999999999">
      <c r="A244" s="988"/>
      <c r="B244" s="1637"/>
      <c r="C244" s="1637"/>
      <c r="D244" s="352"/>
      <c r="K244" s="1161"/>
      <c r="L244" s="1637"/>
      <c r="M244" s="1637"/>
      <c r="N244" s="1161"/>
      <c r="O244" s="1161"/>
      <c r="P244" s="1161"/>
      <c r="Q244" s="1161"/>
      <c r="R244" s="1637"/>
      <c r="S244" s="1161"/>
      <c r="T244" s="1161"/>
      <c r="U244" s="545"/>
      <c r="V244" s="1161"/>
      <c r="W244" s="1161"/>
      <c r="X244" s="1161"/>
      <c r="Y244" s="1161"/>
      <c r="Z244" s="1161"/>
      <c r="AA244" s="1633"/>
      <c r="AB244" s="567"/>
      <c r="AC244" s="567"/>
      <c r="AD244" s="567"/>
      <c r="AE244" s="567"/>
      <c r="AF244" s="1642">
        <v>11</v>
      </c>
    </row>
    <row s="1642" customFormat="1" customHeight="1" ht="11.549999999999999">
      <c r="A245" s="988"/>
      <c r="B245" s="1637"/>
      <c r="C245" s="1637"/>
      <c r="D245" s="352"/>
      <c r="K245" s="1161"/>
      <c r="L245" s="1637"/>
      <c r="M245" s="1637"/>
      <c r="N245" s="1161"/>
      <c r="O245" s="1161"/>
      <c r="P245" s="1161"/>
      <c r="Q245" s="1161"/>
      <c r="R245" s="1637"/>
      <c r="S245" s="1161"/>
      <c r="T245" s="1161"/>
      <c r="U245" s="545"/>
      <c r="V245" s="1161"/>
      <c r="W245" s="1161"/>
      <c r="X245" s="1161"/>
      <c r="Y245" s="1161"/>
      <c r="Z245" s="1161"/>
      <c r="AA245" s="1633"/>
      <c r="AB245" s="567"/>
      <c r="AC245" s="567"/>
      <c r="AD245" s="567"/>
      <c r="AE245" s="567"/>
      <c r="AF245" s="1642">
        <v>11</v>
      </c>
    </row>
    <row s="1642" customFormat="1" customHeight="1" ht="11.549999999999999">
      <c r="A246" s="988"/>
      <c r="B246" s="1637"/>
      <c r="C246" s="1637"/>
      <c r="D246" s="352"/>
      <c r="K246" s="1161"/>
      <c r="L246" s="1637"/>
      <c r="M246" s="1637"/>
      <c r="N246" s="1161"/>
      <c r="O246" s="1161"/>
      <c r="P246" s="1161"/>
      <c r="Q246" s="1161"/>
      <c r="R246" s="1637"/>
      <c r="S246" s="1161"/>
      <c r="T246" s="1161"/>
      <c r="U246" s="545"/>
      <c r="V246" s="1161"/>
      <c r="W246" s="1161"/>
      <c r="X246" s="1161"/>
      <c r="Y246" s="1161"/>
      <c r="Z246" s="1161"/>
      <c r="AA246" s="1633"/>
      <c r="AB246" s="567"/>
      <c r="AC246" s="567"/>
      <c r="AD246" s="567"/>
      <c r="AE246" s="567"/>
      <c r="AF246" s="1642">
        <v>11</v>
      </c>
    </row>
    <row s="1642" customFormat="1" customHeight="1" ht="11.549999999999999">
      <c r="A247" s="988"/>
      <c r="B247" s="1637"/>
      <c r="C247" s="1637"/>
      <c r="D247" s="352"/>
      <c r="K247" s="1161"/>
      <c r="L247" s="1637"/>
      <c r="M247" s="1637"/>
      <c r="N247" s="1161"/>
      <c r="O247" s="1161"/>
      <c r="P247" s="1161"/>
      <c r="Q247" s="1161"/>
      <c r="R247" s="1637"/>
      <c r="S247" s="1161"/>
      <c r="T247" s="1161"/>
      <c r="U247" s="545"/>
      <c r="V247" s="1161"/>
      <c r="W247" s="1161"/>
      <c r="X247" s="1161"/>
      <c r="Y247" s="1161"/>
      <c r="Z247" s="1161"/>
      <c r="AA247" s="1633"/>
      <c r="AB247" s="567"/>
      <c r="AC247" s="567"/>
      <c r="AD247" s="567"/>
      <c r="AE247" s="567"/>
      <c r="AF247" s="1642">
        <v>11</v>
      </c>
    </row>
    <row s="1642" customFormat="1" customHeight="1" ht="11.549999999999999">
      <c r="A248" s="988"/>
      <c r="B248" s="1637"/>
      <c r="C248" s="1637"/>
      <c r="D248" s="352"/>
      <c r="K248" s="1161"/>
      <c r="L248" s="1637"/>
      <c r="M248" s="1637"/>
      <c r="N248" s="1161"/>
      <c r="O248" s="1161"/>
      <c r="P248" s="1161"/>
      <c r="Q248" s="1161"/>
      <c r="R248" s="1637"/>
      <c r="S248" s="1161"/>
      <c r="T248" s="1161"/>
      <c r="U248" s="545"/>
      <c r="V248" s="1161"/>
      <c r="W248" s="1161"/>
      <c r="X248" s="1161"/>
      <c r="Y248" s="1161"/>
      <c r="Z248" s="1161"/>
      <c r="AA248" s="1633"/>
      <c r="AB248" s="567"/>
      <c r="AC248" s="567"/>
      <c r="AD248" s="567"/>
      <c r="AE248" s="567"/>
      <c r="AF248" s="1642">
        <v>11</v>
      </c>
    </row>
    <row s="1642" customFormat="1" customHeight="1" ht="11.549999999999999">
      <c r="A249" s="988"/>
      <c r="B249" s="1637"/>
      <c r="C249" s="1637"/>
      <c r="D249" s="352"/>
      <c r="K249" s="1161"/>
      <c r="L249" s="1637"/>
      <c r="M249" s="1637"/>
      <c r="N249" s="1161"/>
      <c r="O249" s="1161"/>
      <c r="P249" s="1161"/>
      <c r="Q249" s="1161"/>
      <c r="R249" s="1637"/>
      <c r="S249" s="1161"/>
      <c r="T249" s="1161"/>
      <c r="U249" s="545"/>
      <c r="V249" s="1161"/>
      <c r="W249" s="1161"/>
      <c r="X249" s="1161"/>
      <c r="Y249" s="1161"/>
      <c r="Z249" s="1161"/>
      <c r="AA249" s="1633"/>
      <c r="AB249" s="567"/>
      <c r="AC249" s="567"/>
      <c r="AD249" s="567"/>
      <c r="AE249" s="567"/>
      <c r="AF249" s="1642">
        <v>11</v>
      </c>
    </row>
    <row s="1642" customFormat="1" customHeight="1" ht="11.549999999999999">
      <c r="A250" s="988"/>
      <c r="B250" s="1637"/>
      <c r="C250" s="1637"/>
      <c r="D250" s="352"/>
      <c r="K250" s="1161"/>
      <c r="L250" s="1637"/>
      <c r="M250" s="1637"/>
      <c r="N250" s="1161"/>
      <c r="O250" s="1161"/>
      <c r="P250" s="1161"/>
      <c r="Q250" s="1161"/>
      <c r="R250" s="1637"/>
      <c r="S250" s="1161"/>
      <c r="T250" s="1161"/>
      <c r="U250" s="545"/>
      <c r="V250" s="1161"/>
      <c r="W250" s="1161"/>
      <c r="X250" s="1161"/>
      <c r="Y250" s="1161"/>
      <c r="Z250" s="1161"/>
      <c r="AA250" s="1633"/>
      <c r="AB250" s="567"/>
      <c r="AC250" s="567"/>
      <c r="AD250" s="567"/>
      <c r="AE250" s="567"/>
      <c r="AF250" s="1642">
        <v>11</v>
      </c>
    </row>
    <row s="1642" customFormat="1" customHeight="1" ht="11.549999999999999">
      <c r="A251" s="988"/>
      <c r="B251" s="1637"/>
      <c r="C251" s="1637"/>
      <c r="D251" s="352"/>
      <c r="K251" s="1161"/>
      <c r="L251" s="1637"/>
      <c r="M251" s="1637"/>
      <c r="N251" s="1161"/>
      <c r="O251" s="1161"/>
      <c r="P251" s="1161"/>
      <c r="Q251" s="1161"/>
      <c r="R251" s="1637"/>
      <c r="S251" s="1161"/>
      <c r="T251" s="1161"/>
      <c r="U251" s="545"/>
      <c r="V251" s="1161"/>
      <c r="W251" s="1161"/>
      <c r="X251" s="1161"/>
      <c r="Y251" s="1161"/>
      <c r="Z251" s="1161"/>
      <c r="AA251" s="1633"/>
      <c r="AB251" s="567"/>
      <c r="AC251" s="567"/>
      <c r="AD251" s="567"/>
      <c r="AE251" s="567"/>
      <c r="AF251" s="1642">
        <v>11</v>
      </c>
    </row>
    <row s="1642" customFormat="1" customHeight="1" ht="11.549999999999999">
      <c r="A252" s="988"/>
      <c r="B252" s="1637"/>
      <c r="C252" s="1637"/>
      <c r="D252" s="352"/>
      <c r="K252" s="1161"/>
      <c r="L252" s="1637"/>
      <c r="M252" s="1637"/>
      <c r="N252" s="1161"/>
      <c r="O252" s="1161"/>
      <c r="P252" s="1161"/>
      <c r="Q252" s="1161"/>
      <c r="R252" s="1637"/>
      <c r="S252" s="1161"/>
      <c r="T252" s="1161"/>
      <c r="U252" s="545"/>
      <c r="V252" s="1161"/>
      <c r="W252" s="1161"/>
      <c r="X252" s="1161"/>
      <c r="Y252" s="1161"/>
      <c r="Z252" s="1161"/>
      <c r="AA252" s="1633"/>
      <c r="AB252" s="567"/>
      <c r="AC252" s="567"/>
      <c r="AD252" s="567"/>
      <c r="AE252" s="567"/>
      <c r="AF252" s="1642">
        <v>11</v>
      </c>
    </row>
    <row s="1642" customFormat="1" customHeight="1" ht="11.549999999999999">
      <c r="A253" s="988"/>
      <c r="B253" s="1637"/>
      <c r="C253" s="1637"/>
      <c r="D253" s="352"/>
      <c r="K253" s="1161"/>
      <c r="L253" s="1637"/>
      <c r="M253" s="1637"/>
      <c r="N253" s="1161"/>
      <c r="O253" s="1161"/>
      <c r="P253" s="1161"/>
      <c r="Q253" s="1161"/>
      <c r="R253" s="1637"/>
      <c r="S253" s="1161"/>
      <c r="T253" s="1161"/>
      <c r="U253" s="545"/>
      <c r="V253" s="1161"/>
      <c r="W253" s="1161"/>
      <c r="X253" s="1161"/>
      <c r="Y253" s="1161"/>
      <c r="Z253" s="1161"/>
      <c r="AA253" s="1633"/>
      <c r="AB253" s="567"/>
      <c r="AC253" s="567"/>
      <c r="AD253" s="567"/>
      <c r="AE253" s="567"/>
      <c r="AF253" s="1642">
        <v>11</v>
      </c>
    </row>
    <row s="1642" customFormat="1" customHeight="1" ht="11.549999999999999">
      <c r="A254" s="988"/>
      <c r="B254" s="1637"/>
      <c r="C254" s="1637"/>
      <c r="D254" s="352"/>
      <c r="K254" s="1161"/>
      <c r="L254" s="1637"/>
      <c r="M254" s="1637"/>
      <c r="N254" s="1161"/>
      <c r="O254" s="1161"/>
      <c r="P254" s="1161"/>
      <c r="Q254" s="1161"/>
      <c r="R254" s="1637"/>
      <c r="S254" s="1161"/>
      <c r="T254" s="1161"/>
      <c r="U254" s="545"/>
      <c r="V254" s="1161"/>
      <c r="W254" s="1161"/>
      <c r="X254" s="1161"/>
      <c r="Y254" s="1161"/>
      <c r="Z254" s="1161"/>
      <c r="AA254" s="1633"/>
      <c r="AB254" s="567"/>
      <c r="AC254" s="567"/>
      <c r="AD254" s="567"/>
      <c r="AE254" s="567"/>
      <c r="AF254" s="1642">
        <v>11</v>
      </c>
    </row>
    <row s="1642" customFormat="1" customHeight="1" ht="11.549999999999999">
      <c r="A255" s="988"/>
      <c r="B255" s="1637"/>
      <c r="C255" s="1637"/>
      <c r="D255" s="352"/>
      <c r="K255" s="1161"/>
      <c r="L255" s="1637"/>
      <c r="M255" s="1637"/>
      <c r="N255" s="1161"/>
      <c r="O255" s="1161"/>
      <c r="P255" s="1161"/>
      <c r="Q255" s="1161"/>
      <c r="R255" s="1637"/>
      <c r="S255" s="1161"/>
      <c r="T255" s="1161"/>
      <c r="U255" s="545"/>
      <c r="V255" s="1161"/>
      <c r="W255" s="1161"/>
      <c r="X255" s="1161"/>
      <c r="Y255" s="1161"/>
      <c r="Z255" s="1161"/>
      <c r="AA255" s="1633"/>
      <c r="AB255" s="567"/>
      <c r="AC255" s="567"/>
      <c r="AD255" s="567"/>
      <c r="AE255" s="567"/>
      <c r="AF255" s="1642">
        <v>11</v>
      </c>
    </row>
    <row s="1642" customFormat="1" customHeight="1" ht="11.549999999999999">
      <c r="A256" s="988"/>
      <c r="B256" s="1637"/>
      <c r="C256" s="1637"/>
      <c r="D256" s="352"/>
      <c r="K256" s="1161"/>
      <c r="L256" s="1637"/>
      <c r="M256" s="1637"/>
      <c r="N256" s="1161"/>
      <c r="O256" s="1161"/>
      <c r="P256" s="1161"/>
      <c r="Q256" s="1161"/>
      <c r="R256" s="1637"/>
      <c r="S256" s="1161"/>
      <c r="T256" s="1161"/>
      <c r="U256" s="545"/>
      <c r="V256" s="1161"/>
      <c r="W256" s="1161"/>
      <c r="X256" s="1161"/>
      <c r="Y256" s="1161"/>
      <c r="Z256" s="1161"/>
      <c r="AA256" s="1633"/>
      <c r="AB256" s="567"/>
      <c r="AC256" s="567"/>
      <c r="AD256" s="567"/>
      <c r="AE256" s="567"/>
      <c r="AF256" s="1642">
        <v>11</v>
      </c>
    </row>
    <row s="1642" customFormat="1" customHeight="1" ht="11.549999999999999">
      <c r="A257" s="988"/>
      <c r="B257" s="1637"/>
      <c r="C257" s="1637"/>
      <c r="D257" s="352"/>
      <c r="K257" s="1161"/>
      <c r="L257" s="1637"/>
      <c r="M257" s="1637"/>
      <c r="N257" s="1161"/>
      <c r="O257" s="1161"/>
      <c r="P257" s="1161"/>
      <c r="Q257" s="1161"/>
      <c r="R257" s="1637"/>
      <c r="S257" s="1161"/>
      <c r="T257" s="1161"/>
      <c r="U257" s="545"/>
      <c r="V257" s="1161"/>
      <c r="W257" s="1161"/>
      <c r="X257" s="1161"/>
      <c r="Y257" s="1161"/>
      <c r="Z257" s="1161"/>
      <c r="AA257" s="1633"/>
      <c r="AB257" s="567"/>
      <c r="AC257" s="567"/>
      <c r="AD257" s="567"/>
      <c r="AE257" s="567"/>
      <c r="AF257" s="1642">
        <v>11</v>
      </c>
    </row>
    <row s="1642" customFormat="1" customHeight="1" ht="11.549999999999999">
      <c r="A258" s="988"/>
      <c r="B258" s="1637"/>
      <c r="C258" s="1637"/>
      <c r="D258" s="352"/>
      <c r="K258" s="1161"/>
      <c r="L258" s="1637"/>
      <c r="M258" s="1637"/>
      <c r="N258" s="1161"/>
      <c r="O258" s="1161"/>
      <c r="P258" s="1161"/>
      <c r="Q258" s="1161"/>
      <c r="R258" s="1637"/>
      <c r="S258" s="1161"/>
      <c r="T258" s="1161"/>
      <c r="U258" s="545"/>
      <c r="V258" s="1161"/>
      <c r="W258" s="1161"/>
      <c r="X258" s="1161"/>
      <c r="Y258" s="1161"/>
      <c r="Z258" s="1161"/>
      <c r="AA258" s="1633"/>
      <c r="AB258" s="567"/>
      <c r="AC258" s="567"/>
      <c r="AD258" s="567"/>
      <c r="AE258" s="567"/>
      <c r="AF258" s="1642">
        <v>11</v>
      </c>
    </row>
    <row s="1642" customFormat="1" customHeight="1" ht="11.549999999999999">
      <c r="A259" s="988"/>
      <c r="B259" s="1637"/>
      <c r="C259" s="1637"/>
      <c r="D259" s="352"/>
      <c r="K259" s="1161"/>
      <c r="L259" s="1637"/>
      <c r="M259" s="1637"/>
      <c r="N259" s="1161"/>
      <c r="O259" s="1161"/>
      <c r="P259" s="1161"/>
      <c r="Q259" s="1161"/>
      <c r="R259" s="1637"/>
      <c r="S259" s="1161"/>
      <c r="T259" s="1161"/>
      <c r="U259" s="545"/>
      <c r="V259" s="1161"/>
      <c r="W259" s="1161"/>
      <c r="X259" s="1161"/>
      <c r="Y259" s="1161"/>
      <c r="Z259" s="1161"/>
      <c r="AA259" s="1633"/>
      <c r="AB259" s="567"/>
      <c r="AC259" s="567"/>
      <c r="AD259" s="567"/>
      <c r="AE259" s="567"/>
      <c r="AF259" s="1642">
        <v>11</v>
      </c>
    </row>
    <row s="1642" customFormat="1" customHeight="1" ht="11.549999999999999">
      <c r="A260" s="988"/>
      <c r="B260" s="1637"/>
      <c r="C260" s="1637"/>
      <c r="D260" s="352"/>
      <c r="K260" s="1161"/>
      <c r="L260" s="1637"/>
      <c r="M260" s="1637"/>
      <c r="N260" s="1161"/>
      <c r="O260" s="1161"/>
      <c r="P260" s="1161"/>
      <c r="Q260" s="1161"/>
      <c r="R260" s="1637"/>
      <c r="S260" s="1161"/>
      <c r="T260" s="1161"/>
      <c r="U260" s="545"/>
      <c r="V260" s="1161"/>
      <c r="W260" s="1161"/>
      <c r="X260" s="1161"/>
      <c r="Y260" s="1161"/>
      <c r="Z260" s="1161"/>
      <c r="AA260" s="1633"/>
      <c r="AB260" s="567"/>
      <c r="AC260" s="567"/>
      <c r="AD260" s="567"/>
      <c r="AE260" s="567"/>
      <c r="AF260" s="1642">
        <v>11</v>
      </c>
    </row>
    <row s="1642" customFormat="1" customHeight="1" ht="11.549999999999999">
      <c r="A261" s="988"/>
      <c r="B261" s="1637"/>
      <c r="C261" s="1637"/>
      <c r="D261" s="352"/>
      <c r="K261" s="1161"/>
      <c r="L261" s="1637"/>
      <c r="M261" s="1637"/>
      <c r="N261" s="1161"/>
      <c r="O261" s="1161"/>
      <c r="P261" s="1161"/>
      <c r="Q261" s="1161"/>
      <c r="R261" s="1637"/>
      <c r="S261" s="1161"/>
      <c r="T261" s="1161"/>
      <c r="U261" s="545"/>
      <c r="V261" s="1161"/>
      <c r="W261" s="1161"/>
      <c r="X261" s="1161"/>
      <c r="Y261" s="1161"/>
      <c r="Z261" s="1161"/>
      <c r="AA261" s="1633"/>
      <c r="AB261" s="567"/>
      <c r="AC261" s="567"/>
      <c r="AD261" s="567"/>
      <c r="AE261" s="567"/>
      <c r="AF261" s="1642">
        <v>11</v>
      </c>
    </row>
    <row s="1642" customFormat="1" customHeight="1" ht="11.549999999999999">
      <c r="A262" s="988"/>
      <c r="B262" s="1637"/>
      <c r="C262" s="1637"/>
      <c r="D262" s="352"/>
      <c r="K262" s="1161"/>
      <c r="L262" s="1637"/>
      <c r="M262" s="1637"/>
      <c r="N262" s="1161"/>
      <c r="O262" s="1161"/>
      <c r="P262" s="1161"/>
      <c r="Q262" s="1161"/>
      <c r="R262" s="1637"/>
      <c r="S262" s="1161"/>
      <c r="T262" s="1161"/>
      <c r="U262" s="545"/>
      <c r="V262" s="1161"/>
      <c r="W262" s="1161"/>
      <c r="X262" s="1161"/>
      <c r="Y262" s="1161"/>
      <c r="Z262" s="1161"/>
      <c r="AA262" s="1633"/>
      <c r="AB262" s="567"/>
      <c r="AC262" s="567"/>
      <c r="AD262" s="567"/>
      <c r="AE262" s="567"/>
      <c r="AF262" s="1642">
        <v>11</v>
      </c>
    </row>
    <row s="1642" customFormat="1" customHeight="1" ht="11.549999999999999">
      <c r="A263" s="988"/>
      <c r="B263" s="1637"/>
      <c r="C263" s="1637"/>
      <c r="D263" s="352"/>
      <c r="K263" s="1161"/>
      <c r="L263" s="1637"/>
      <c r="M263" s="1637"/>
      <c r="N263" s="1161"/>
      <c r="O263" s="1161"/>
      <c r="P263" s="1161"/>
      <c r="Q263" s="1161"/>
      <c r="R263" s="1637"/>
      <c r="S263" s="1161"/>
      <c r="T263" s="1161"/>
      <c r="U263" s="545"/>
      <c r="V263" s="1161"/>
      <c r="W263" s="1161"/>
      <c r="X263" s="1161"/>
      <c r="Y263" s="1161"/>
      <c r="Z263" s="1161"/>
      <c r="AA263" s="1633"/>
      <c r="AB263" s="567"/>
      <c r="AC263" s="567"/>
      <c r="AD263" s="567"/>
      <c r="AE263" s="567"/>
      <c r="AF263" s="1642">
        <v>11</v>
      </c>
    </row>
    <row s="1642" customFormat="1" customHeight="1" ht="11.549999999999999">
      <c r="A264" s="988"/>
      <c r="B264" s="1637"/>
      <c r="C264" s="1637"/>
      <c r="D264" s="352"/>
      <c r="K264" s="1161"/>
      <c r="L264" s="1637"/>
      <c r="M264" s="1637"/>
      <c r="N264" s="1161"/>
      <c r="O264" s="1161"/>
      <c r="P264" s="1161"/>
      <c r="Q264" s="1161"/>
      <c r="R264" s="1637"/>
      <c r="S264" s="1161"/>
      <c r="T264" s="1161"/>
      <c r="U264" s="545"/>
      <c r="V264" s="1161"/>
      <c r="W264" s="1161"/>
      <c r="X264" s="1161"/>
      <c r="Y264" s="1161"/>
      <c r="Z264" s="1161"/>
      <c r="AA264" s="1633"/>
      <c r="AB264" s="567"/>
      <c r="AC264" s="567"/>
      <c r="AD264" s="567"/>
      <c r="AE264" s="567"/>
      <c r="AF264" s="1642">
        <v>11</v>
      </c>
    </row>
    <row s="1642" customFormat="1" customHeight="1" ht="11.549999999999999">
      <c r="A265" s="988"/>
      <c r="B265" s="1637"/>
      <c r="C265" s="1637"/>
      <c r="D265" s="352"/>
      <c r="K265" s="1161"/>
      <c r="L265" s="1637"/>
      <c r="M265" s="1637"/>
      <c r="N265" s="1161"/>
      <c r="O265" s="1161"/>
      <c r="P265" s="1161"/>
      <c r="Q265" s="1161"/>
      <c r="R265" s="1637"/>
      <c r="S265" s="1161"/>
      <c r="T265" s="1161"/>
      <c r="U265" s="545"/>
      <c r="V265" s="1161"/>
      <c r="W265" s="1161"/>
      <c r="X265" s="1161"/>
      <c r="Y265" s="1161"/>
      <c r="Z265" s="1161"/>
      <c r="AA265" s="1633"/>
      <c r="AB265" s="567"/>
      <c r="AC265" s="567"/>
      <c r="AD265" s="567"/>
      <c r="AE265" s="567"/>
      <c r="AF265" s="1642">
        <v>11</v>
      </c>
    </row>
    <row s="1642" customFormat="1" customHeight="1" ht="11.549999999999999">
      <c r="A266" s="988"/>
      <c r="B266" s="1637"/>
      <c r="C266" s="1637"/>
      <c r="D266" s="352"/>
      <c r="K266" s="1161"/>
      <c r="L266" s="1637"/>
      <c r="M266" s="1637"/>
      <c r="N266" s="1161"/>
      <c r="O266" s="1161"/>
      <c r="P266" s="1161"/>
      <c r="Q266" s="1161"/>
      <c r="R266" s="1637"/>
      <c r="S266" s="1161"/>
      <c r="T266" s="1161"/>
      <c r="U266" s="545"/>
      <c r="V266" s="1161"/>
      <c r="W266" s="1161"/>
      <c r="X266" s="1161"/>
      <c r="Y266" s="1161"/>
      <c r="Z266" s="1161"/>
      <c r="AA266" s="1633"/>
      <c r="AB266" s="567"/>
      <c r="AC266" s="567"/>
      <c r="AD266" s="567"/>
      <c r="AE266" s="567"/>
      <c r="AF266" s="1642">
        <v>11</v>
      </c>
    </row>
    <row s="1642" customFormat="1" customHeight="1" ht="11.549999999999999">
      <c r="A267" s="988"/>
      <c r="B267" s="1637"/>
      <c r="C267" s="1637"/>
      <c r="D267" s="352"/>
      <c r="K267" s="1161"/>
      <c r="L267" s="1637"/>
      <c r="M267" s="1637"/>
      <c r="N267" s="1161"/>
      <c r="O267" s="1161"/>
      <c r="P267" s="1161"/>
      <c r="Q267" s="1161"/>
      <c r="R267" s="1637"/>
      <c r="S267" s="1161"/>
      <c r="T267" s="1161"/>
      <c r="U267" s="545"/>
      <c r="V267" s="1161"/>
      <c r="W267" s="1161"/>
      <c r="X267" s="1161"/>
      <c r="Y267" s="1161"/>
      <c r="Z267" s="1161"/>
      <c r="AA267" s="1633"/>
      <c r="AB267" s="567"/>
      <c r="AC267" s="567"/>
      <c r="AD267" s="567"/>
      <c r="AE267" s="567"/>
      <c r="AF267" s="1642">
        <v>11</v>
      </c>
    </row>
    <row s="1642" customFormat="1" customHeight="1" ht="11.549999999999999">
      <c r="A268" s="988"/>
      <c r="B268" s="1637"/>
      <c r="C268" s="1637"/>
      <c r="D268" s="352"/>
      <c r="K268" s="1161"/>
      <c r="L268" s="1637"/>
      <c r="M268" s="1637"/>
      <c r="N268" s="1161"/>
      <c r="O268" s="1161"/>
      <c r="P268" s="1161"/>
      <c r="Q268" s="1161"/>
      <c r="R268" s="1637"/>
      <c r="S268" s="1161"/>
      <c r="T268" s="1161"/>
      <c r="U268" s="545"/>
      <c r="V268" s="1161"/>
      <c r="W268" s="1161"/>
      <c r="X268" s="1161"/>
      <c r="Y268" s="1161"/>
      <c r="Z268" s="1161"/>
      <c r="AA268" s="1633"/>
      <c r="AB268" s="567"/>
      <c r="AC268" s="567"/>
      <c r="AD268" s="567"/>
      <c r="AE268" s="567"/>
      <c r="AF268" s="1642">
        <v>11</v>
      </c>
    </row>
    <row s="1642" customFormat="1" customHeight="1" ht="11.549999999999999">
      <c r="A269" s="988"/>
      <c r="B269" s="1637"/>
      <c r="C269" s="1637"/>
      <c r="D269" s="352"/>
      <c r="K269" s="1161"/>
      <c r="L269" s="1637"/>
      <c r="M269" s="1637"/>
      <c r="N269" s="1161"/>
      <c r="O269" s="1161"/>
      <c r="P269" s="1161"/>
      <c r="Q269" s="1161"/>
      <c r="R269" s="1637"/>
      <c r="S269" s="1161"/>
      <c r="T269" s="1161"/>
      <c r="U269" s="545"/>
      <c r="V269" s="1161"/>
      <c r="W269" s="1161"/>
      <c r="X269" s="1161"/>
      <c r="Y269" s="1161"/>
      <c r="Z269" s="1161"/>
      <c r="AA269" s="1633"/>
      <c r="AB269" s="567"/>
      <c r="AC269" s="567"/>
      <c r="AD269" s="567"/>
      <c r="AE269" s="567"/>
      <c r="AF269" s="1642">
        <v>11</v>
      </c>
    </row>
    <row s="1642" customFormat="1" customHeight="1" ht="11.549999999999999">
      <c r="A270" s="988"/>
      <c r="B270" s="1637"/>
      <c r="C270" s="1637"/>
      <c r="D270" s="352"/>
      <c r="K270" s="1161"/>
      <c r="L270" s="1637"/>
      <c r="M270" s="1637"/>
      <c r="N270" s="1161"/>
      <c r="O270" s="1161"/>
      <c r="P270" s="1161"/>
      <c r="Q270" s="1161"/>
      <c r="R270" s="1637"/>
      <c r="S270" s="1161"/>
      <c r="T270" s="1161"/>
      <c r="U270" s="545"/>
      <c r="V270" s="1161"/>
      <c r="W270" s="1161"/>
      <c r="X270" s="1161"/>
      <c r="Y270" s="1161"/>
      <c r="Z270" s="1161"/>
      <c r="AA270" s="1633"/>
      <c r="AB270" s="567"/>
      <c r="AC270" s="567"/>
      <c r="AD270" s="567"/>
      <c r="AE270" s="567"/>
      <c r="AF270" s="1642">
        <v>11</v>
      </c>
    </row>
    <row s="1642" customFormat="1" customHeight="1" ht="11.549999999999999">
      <c r="A271" s="988"/>
      <c r="B271" s="1637"/>
      <c r="C271" s="1637"/>
      <c r="D271" s="352"/>
      <c r="K271" s="1161"/>
      <c r="L271" s="1637"/>
      <c r="M271" s="1637"/>
      <c r="N271" s="1161"/>
      <c r="O271" s="1161"/>
      <c r="P271" s="1161"/>
      <c r="Q271" s="1161"/>
      <c r="R271" s="1637"/>
      <c r="S271" s="1161"/>
      <c r="T271" s="1161"/>
      <c r="U271" s="545"/>
      <c r="V271" s="1161"/>
      <c r="W271" s="1161"/>
      <c r="X271" s="1161"/>
      <c r="Y271" s="1161"/>
      <c r="Z271" s="1161"/>
      <c r="AA271" s="1633"/>
      <c r="AB271" s="567"/>
      <c r="AC271" s="567"/>
      <c r="AD271" s="567"/>
      <c r="AE271" s="567"/>
      <c r="AF271" s="1642">
        <v>11</v>
      </c>
    </row>
    <row s="1642" customFormat="1" customHeight="1" ht="11.549999999999999">
      <c r="A272" s="988"/>
      <c r="B272" s="1637"/>
      <c r="C272" s="1637"/>
      <c r="D272" s="352"/>
      <c r="K272" s="1161"/>
      <c r="L272" s="1637"/>
      <c r="M272" s="1637"/>
      <c r="N272" s="1161"/>
      <c r="O272" s="1161"/>
      <c r="P272" s="1161"/>
      <c r="Q272" s="1161"/>
      <c r="R272" s="1637"/>
      <c r="S272" s="1161"/>
      <c r="T272" s="1161"/>
      <c r="U272" s="545"/>
      <c r="V272" s="1161"/>
      <c r="W272" s="1161"/>
      <c r="X272" s="1161"/>
      <c r="Y272" s="1161"/>
      <c r="Z272" s="1161"/>
      <c r="AA272" s="1633"/>
      <c r="AB272" s="567"/>
      <c r="AC272" s="567"/>
      <c r="AD272" s="567"/>
      <c r="AE272" s="567"/>
      <c r="AF272" s="1642">
        <v>11</v>
      </c>
    </row>
    <row s="1642" customFormat="1" customHeight="1" ht="11.549999999999999">
      <c r="A273" s="988"/>
      <c r="B273" s="1637"/>
      <c r="C273" s="1637"/>
      <c r="D273" s="352"/>
      <c r="K273" s="1161"/>
      <c r="L273" s="1637"/>
      <c r="M273" s="1637"/>
      <c r="N273" s="1161"/>
      <c r="O273" s="1161"/>
      <c r="P273" s="1161"/>
      <c r="Q273" s="1161"/>
      <c r="R273" s="1637"/>
      <c r="S273" s="1161"/>
      <c r="T273" s="1161"/>
      <c r="U273" s="545"/>
      <c r="V273" s="1161"/>
      <c r="W273" s="1161"/>
      <c r="X273" s="1161"/>
      <c r="Y273" s="1161"/>
      <c r="Z273" s="1161"/>
      <c r="AA273" s="1633"/>
      <c r="AB273" s="567"/>
      <c r="AC273" s="567"/>
      <c r="AD273" s="567"/>
      <c r="AE273" s="567"/>
      <c r="AF273" s="1642">
        <v>11</v>
      </c>
    </row>
    <row s="1642" customFormat="1" customHeight="1" ht="11.549999999999999">
      <c r="A274" s="988"/>
      <c r="B274" s="1637"/>
      <c r="C274" s="1637"/>
      <c r="D274" s="352"/>
      <c r="K274" s="1161"/>
      <c r="L274" s="1637"/>
      <c r="M274" s="1637"/>
      <c r="N274" s="1161"/>
      <c r="O274" s="1161"/>
      <c r="P274" s="1161"/>
      <c r="Q274" s="1161"/>
      <c r="R274" s="1637"/>
      <c r="S274" s="1161"/>
      <c r="T274" s="1161"/>
      <c r="U274" s="545"/>
      <c r="V274" s="1161"/>
      <c r="W274" s="1161"/>
      <c r="X274" s="1161"/>
      <c r="Y274" s="1161"/>
      <c r="Z274" s="1161"/>
      <c r="AA274" s="1633"/>
      <c r="AB274" s="567"/>
      <c r="AC274" s="567"/>
      <c r="AD274" s="567"/>
      <c r="AE274" s="567"/>
      <c r="AF274" s="1642">
        <v>11</v>
      </c>
    </row>
    <row s="1642" customFormat="1" customHeight="1" ht="11.549999999999999">
      <c r="A275" s="988"/>
      <c r="B275" s="1637"/>
      <c r="C275" s="1637"/>
      <c r="D275" s="352"/>
      <c r="K275" s="1161"/>
      <c r="L275" s="1637"/>
      <c r="M275" s="1637"/>
      <c r="N275" s="1161"/>
      <c r="O275" s="1161"/>
      <c r="P275" s="1161"/>
      <c r="Q275" s="1161"/>
      <c r="R275" s="1637"/>
      <c r="S275" s="1161"/>
      <c r="T275" s="1161"/>
      <c r="U275" s="545"/>
      <c r="V275" s="1161"/>
      <c r="W275" s="1161"/>
      <c r="X275" s="1161"/>
      <c r="Y275" s="1161"/>
      <c r="Z275" s="1161"/>
      <c r="AA275" s="1633"/>
      <c r="AB275" s="567"/>
      <c r="AC275" s="567"/>
      <c r="AD275" s="567"/>
      <c r="AE275" s="567"/>
      <c r="AF275" s="1642">
        <v>11</v>
      </c>
    </row>
    <row s="1642" customFormat="1" customHeight="1" ht="11.549999999999999">
      <c r="A276" s="988"/>
      <c r="B276" s="1637"/>
      <c r="C276" s="1637"/>
      <c r="D276" s="352"/>
      <c r="K276" s="1161"/>
      <c r="L276" s="1637"/>
      <c r="M276" s="1637"/>
      <c r="N276" s="1161"/>
      <c r="O276" s="1161"/>
      <c r="P276" s="1161"/>
      <c r="Q276" s="1161"/>
      <c r="R276" s="1637"/>
      <c r="S276" s="1161"/>
      <c r="T276" s="1161"/>
      <c r="U276" s="545"/>
      <c r="V276" s="1161"/>
      <c r="W276" s="1161"/>
      <c r="X276" s="1161"/>
      <c r="Y276" s="1161"/>
      <c r="Z276" s="1161"/>
      <c r="AA276" s="1633"/>
      <c r="AB276" s="567"/>
      <c r="AC276" s="567"/>
      <c r="AD276" s="567"/>
      <c r="AE276" s="567"/>
      <c r="AF276" s="1642">
        <v>11</v>
      </c>
    </row>
    <row s="1642" customFormat="1" customHeight="1" ht="11.549999999999999">
      <c r="A277" s="988"/>
      <c r="B277" s="1637"/>
      <c r="C277" s="1637"/>
      <c r="D277" s="352"/>
      <c r="K277" s="1161"/>
      <c r="L277" s="1637"/>
      <c r="M277" s="1637"/>
      <c r="N277" s="1161"/>
      <c r="O277" s="1161"/>
      <c r="P277" s="1161"/>
      <c r="Q277" s="1161"/>
      <c r="R277" s="1637"/>
      <c r="S277" s="1161"/>
      <c r="T277" s="1161"/>
      <c r="U277" s="545"/>
      <c r="V277" s="1161"/>
      <c r="W277" s="1161"/>
      <c r="X277" s="1161"/>
      <c r="Y277" s="1161"/>
      <c r="Z277" s="1161"/>
      <c r="AA277" s="1633"/>
      <c r="AB277" s="567"/>
      <c r="AC277" s="567"/>
      <c r="AD277" s="567"/>
      <c r="AE277" s="567"/>
      <c r="AF277" s="1642">
        <v>11</v>
      </c>
    </row>
    <row s="1642" customFormat="1" customHeight="1" ht="11.549999999999999">
      <c r="A278" s="988"/>
      <c r="B278" s="1637"/>
      <c r="C278" s="1637"/>
      <c r="D278" s="352"/>
      <c r="K278" s="1161"/>
      <c r="L278" s="1637"/>
      <c r="M278" s="1637"/>
      <c r="N278" s="1161"/>
      <c r="O278" s="1161"/>
      <c r="P278" s="1161"/>
      <c r="Q278" s="1161"/>
      <c r="R278" s="1637"/>
      <c r="S278" s="1161"/>
      <c r="T278" s="1161"/>
      <c r="U278" s="545"/>
      <c r="V278" s="1161"/>
      <c r="W278" s="1161"/>
      <c r="X278" s="1161"/>
      <c r="Y278" s="1161"/>
      <c r="Z278" s="1161"/>
      <c r="AA278" s="1633"/>
      <c r="AB278" s="567"/>
      <c r="AC278" s="567"/>
      <c r="AD278" s="567"/>
      <c r="AE278" s="567"/>
      <c r="AF278" s="1642">
        <v>11</v>
      </c>
    </row>
    <row s="1642" customFormat="1" customHeight="1" ht="11.549999999999999">
      <c r="A279" s="988"/>
      <c r="B279" s="1637"/>
      <c r="C279" s="1637"/>
      <c r="D279" s="352"/>
      <c r="K279" s="1161"/>
      <c r="L279" s="1637"/>
      <c r="M279" s="1637"/>
      <c r="N279" s="1161"/>
      <c r="O279" s="1161"/>
      <c r="P279" s="1161"/>
      <c r="Q279" s="1161"/>
      <c r="R279" s="1637"/>
      <c r="S279" s="1161"/>
      <c r="T279" s="1161"/>
      <c r="U279" s="545"/>
      <c r="V279" s="1161"/>
      <c r="W279" s="1161"/>
      <c r="X279" s="1161"/>
      <c r="Y279" s="1161"/>
      <c r="Z279" s="1161"/>
      <c r="AA279" s="1633"/>
      <c r="AB279" s="567"/>
      <c r="AC279" s="567"/>
      <c r="AD279" s="567"/>
      <c r="AE279" s="567"/>
      <c r="AF279" s="1642">
        <v>11</v>
      </c>
    </row>
    <row s="1642" customFormat="1" customHeight="1" ht="11.549999999999999">
      <c r="A280" s="988"/>
      <c r="B280" s="1637"/>
      <c r="C280" s="1637"/>
      <c r="D280" s="352"/>
      <c r="K280" s="1161"/>
      <c r="L280" s="1637"/>
      <c r="M280" s="1637"/>
      <c r="N280" s="1161"/>
      <c r="O280" s="1161"/>
      <c r="P280" s="1161"/>
      <c r="Q280" s="1161"/>
      <c r="R280" s="1637"/>
      <c r="S280" s="1161"/>
      <c r="T280" s="1161"/>
      <c r="U280" s="545"/>
      <c r="V280" s="1161"/>
      <c r="W280" s="1161"/>
      <c r="X280" s="1161"/>
      <c r="Y280" s="1161"/>
      <c r="Z280" s="1161"/>
      <c r="AA280" s="1633"/>
      <c r="AB280" s="567"/>
      <c r="AC280" s="567"/>
      <c r="AD280" s="567"/>
      <c r="AE280" s="567"/>
      <c r="AF280" s="1642">
        <v>11</v>
      </c>
    </row>
    <row s="1642" customFormat="1" customHeight="1" ht="11.549999999999999">
      <c r="A281" s="988"/>
      <c r="B281" s="1637"/>
      <c r="C281" s="1637"/>
      <c r="D281" s="352"/>
      <c r="K281" s="1161"/>
      <c r="L281" s="1637"/>
      <c r="M281" s="1637"/>
      <c r="N281" s="1161"/>
      <c r="O281" s="1161"/>
      <c r="P281" s="1161"/>
      <c r="Q281" s="1161"/>
      <c r="R281" s="1637"/>
      <c r="S281" s="1161"/>
      <c r="T281" s="1161"/>
      <c r="U281" s="545"/>
      <c r="V281" s="1161"/>
      <c r="W281" s="1161"/>
      <c r="X281" s="1161"/>
      <c r="Y281" s="1161"/>
      <c r="Z281" s="1161"/>
      <c r="AA281" s="1633"/>
      <c r="AB281" s="567"/>
      <c r="AC281" s="567"/>
      <c r="AD281" s="567"/>
      <c r="AE281" s="567"/>
      <c r="AF281" s="1642">
        <v>11</v>
      </c>
    </row>
    <row s="1642" customFormat="1" customHeight="1" ht="11.549999999999999">
      <c r="A282" s="988"/>
      <c r="B282" s="1637"/>
      <c r="C282" s="1637"/>
      <c r="D282" s="352"/>
      <c r="K282" s="1161"/>
      <c r="L282" s="1637"/>
      <c r="M282" s="1637"/>
      <c r="N282" s="1161"/>
      <c r="O282" s="1161"/>
      <c r="P282" s="1161"/>
      <c r="Q282" s="1161"/>
      <c r="R282" s="1637"/>
      <c r="S282" s="1161"/>
      <c r="T282" s="1161"/>
      <c r="U282" s="545"/>
      <c r="V282" s="1161"/>
      <c r="W282" s="1161"/>
      <c r="X282" s="1161"/>
      <c r="Y282" s="1161"/>
      <c r="Z282" s="1161"/>
      <c r="AA282" s="1633"/>
      <c r="AB282" s="567"/>
      <c r="AC282" s="567"/>
      <c r="AD282" s="567"/>
      <c r="AE282" s="567"/>
      <c r="AF282" s="1642">
        <v>11</v>
      </c>
    </row>
    <row s="1642" customFormat="1" customHeight="1" ht="11.549999999999999">
      <c r="A283" s="988"/>
      <c r="B283" s="1637"/>
      <c r="C283" s="1637"/>
      <c r="D283" s="352"/>
      <c r="K283" s="1161"/>
      <c r="L283" s="1637"/>
      <c r="M283" s="1637"/>
      <c r="N283" s="1161"/>
      <c r="O283" s="1161"/>
      <c r="P283" s="1161"/>
      <c r="Q283" s="1161"/>
      <c r="R283" s="1637"/>
      <c r="S283" s="1161"/>
      <c r="T283" s="1161"/>
      <c r="U283" s="545"/>
      <c r="V283" s="1161"/>
      <c r="W283" s="1161"/>
      <c r="X283" s="1161"/>
      <c r="Y283" s="1161"/>
      <c r="Z283" s="1161"/>
      <c r="AA283" s="1633"/>
      <c r="AB283" s="567"/>
      <c r="AC283" s="567"/>
      <c r="AD283" s="567"/>
      <c r="AE283" s="567"/>
      <c r="AF283" s="1642">
        <v>11</v>
      </c>
    </row>
    <row s="1642" customFormat="1" customHeight="1" ht="11.549999999999999">
      <c r="A284" s="988"/>
      <c r="B284" s="1637"/>
      <c r="C284" s="1637"/>
      <c r="D284" s="352"/>
      <c r="K284" s="1161"/>
      <c r="L284" s="1637"/>
      <c r="M284" s="1637"/>
      <c r="N284" s="1161"/>
      <c r="O284" s="1161"/>
      <c r="P284" s="1161"/>
      <c r="Q284" s="1161"/>
      <c r="R284" s="1637"/>
      <c r="S284" s="1161"/>
      <c r="T284" s="1161"/>
      <c r="U284" s="545"/>
      <c r="V284" s="1161"/>
      <c r="W284" s="1161"/>
      <c r="X284" s="1161"/>
      <c r="Y284" s="1161"/>
      <c r="Z284" s="1161"/>
      <c r="AA284" s="1633"/>
      <c r="AB284" s="567"/>
      <c r="AC284" s="567"/>
      <c r="AD284" s="567"/>
      <c r="AE284" s="567"/>
      <c r="AF284" s="1642">
        <v>11</v>
      </c>
    </row>
    <row s="1642" customFormat="1" customHeight="1" ht="11.549999999999999">
      <c r="A285" s="988"/>
      <c r="B285" s="1637"/>
      <c r="C285" s="1637"/>
      <c r="D285" s="352"/>
      <c r="K285" s="1161"/>
      <c r="L285" s="1637"/>
      <c r="M285" s="1637"/>
      <c r="N285" s="1161"/>
      <c r="O285" s="1161"/>
      <c r="P285" s="1161"/>
      <c r="Q285" s="1161"/>
      <c r="R285" s="1637"/>
      <c r="S285" s="1161"/>
      <c r="T285" s="1161"/>
      <c r="U285" s="545"/>
      <c r="V285" s="1161"/>
      <c r="W285" s="1161"/>
      <c r="X285" s="1161"/>
      <c r="Y285" s="1161"/>
      <c r="Z285" s="1161"/>
      <c r="AA285" s="1633"/>
      <c r="AB285" s="567"/>
      <c r="AC285" s="567"/>
      <c r="AD285" s="567"/>
      <c r="AE285" s="567"/>
      <c r="AF285" s="1642">
        <v>11</v>
      </c>
    </row>
    <row s="1642" customFormat="1" customHeight="1" ht="11.549999999999999">
      <c r="A286" s="988"/>
      <c r="B286" s="1637"/>
      <c r="C286" s="1637"/>
      <c r="D286" s="352"/>
      <c r="K286" s="1161"/>
      <c r="L286" s="1637"/>
      <c r="M286" s="1637"/>
      <c r="N286" s="1161"/>
      <c r="O286" s="1161"/>
      <c r="P286" s="1161"/>
      <c r="Q286" s="1161"/>
      <c r="R286" s="1637"/>
      <c r="S286" s="1161"/>
      <c r="T286" s="1161"/>
      <c r="U286" s="545"/>
      <c r="V286" s="1161"/>
      <c r="W286" s="1161"/>
      <c r="X286" s="1161"/>
      <c r="Y286" s="1161"/>
      <c r="Z286" s="1161"/>
      <c r="AA286" s="1633"/>
      <c r="AB286" s="567"/>
      <c r="AC286" s="567"/>
      <c r="AD286" s="567"/>
      <c r="AE286" s="567"/>
      <c r="AF286" s="1642">
        <v>11</v>
      </c>
    </row>
    <row s="1642" customFormat="1" customHeight="1" ht="11.549999999999999">
      <c r="A287" s="988"/>
      <c r="B287" s="1637"/>
      <c r="C287" s="1637"/>
      <c r="D287" s="352"/>
      <c r="K287" s="1161"/>
      <c r="L287" s="1637"/>
      <c r="M287" s="1637"/>
      <c r="N287" s="1161"/>
      <c r="O287" s="1161"/>
      <c r="P287" s="1161"/>
      <c r="Q287" s="1161"/>
      <c r="R287" s="1637"/>
      <c r="S287" s="1161"/>
      <c r="T287" s="1161"/>
      <c r="U287" s="545"/>
      <c r="V287" s="1161"/>
      <c r="W287" s="1161"/>
      <c r="X287" s="1161"/>
      <c r="Y287" s="1161"/>
      <c r="Z287" s="1161"/>
      <c r="AA287" s="1633"/>
      <c r="AB287" s="567"/>
      <c r="AC287" s="567"/>
      <c r="AD287" s="567"/>
      <c r="AE287" s="567"/>
      <c r="AF287" s="1642">
        <v>11</v>
      </c>
    </row>
    <row s="1642" customFormat="1" customHeight="1" ht="11.549999999999999">
      <c r="A288" s="988"/>
      <c r="B288" s="1637"/>
      <c r="C288" s="1637"/>
      <c r="D288" s="352"/>
      <c r="K288" s="1161"/>
      <c r="L288" s="1637"/>
      <c r="M288" s="1637"/>
      <c r="N288" s="1161"/>
      <c r="O288" s="1161"/>
      <c r="P288" s="1161"/>
      <c r="Q288" s="1161"/>
      <c r="R288" s="1637"/>
      <c r="S288" s="1161"/>
      <c r="T288" s="1161"/>
      <c r="U288" s="545"/>
      <c r="V288" s="1161"/>
      <c r="W288" s="1161"/>
      <c r="X288" s="1161"/>
      <c r="Y288" s="1161"/>
      <c r="Z288" s="1161"/>
      <c r="AA288" s="1633"/>
      <c r="AB288" s="567"/>
      <c r="AC288" s="567"/>
      <c r="AD288" s="567"/>
      <c r="AE288" s="567"/>
      <c r="AF288" s="1642">
        <v>11</v>
      </c>
    </row>
    <row customHeight="1" ht="11.549999999999999">
      <c r="AF289" s="1632">
        <v>11</v>
      </c>
    </row>
    <row customHeight="1" ht="11.549999999999999">
      <c r="AF290" s="1632">
        <v>11</v>
      </c>
    </row>
    <row customHeight="1" ht="11.549999999999999">
      <c r="AF291" s="1632">
        <v>11</v>
      </c>
    </row>
    <row customHeight="1" ht="11.549999999999999">
      <c r="A292" s="991"/>
      <c r="B292" s="1632"/>
      <c r="D292" s="1632"/>
      <c r="K292" s="1632"/>
      <c r="N292" s="1632"/>
      <c r="O292" s="1632"/>
      <c r="P292" s="1632"/>
      <c r="Q292" s="1632"/>
      <c r="S292" s="1632"/>
      <c r="T292" s="1632"/>
      <c r="U292" s="1632"/>
      <c r="V292" s="1632"/>
      <c r="W292" s="1632"/>
      <c r="X292" s="1632"/>
      <c r="Y292" s="1632"/>
      <c r="Z292" s="1632"/>
      <c r="AA292" s="1632"/>
      <c r="AB292" s="1632"/>
      <c r="AC292" s="1632"/>
      <c r="AD292" s="1632"/>
      <c r="AE292" s="1632"/>
      <c r="AF292" s="1632">
        <v>11</v>
      </c>
    </row>
    <row customHeight="1" ht="11.549999999999999">
      <c r="A293" s="991"/>
      <c r="B293" s="1632"/>
      <c r="D293" s="1632"/>
      <c r="K293" s="1632"/>
      <c r="N293" s="1632"/>
      <c r="O293" s="1632"/>
      <c r="P293" s="1632"/>
      <c r="Q293" s="1632"/>
      <c r="S293" s="1632"/>
      <c r="T293" s="1632"/>
      <c r="U293" s="1632"/>
      <c r="V293" s="1632"/>
      <c r="W293" s="1632"/>
      <c r="X293" s="1632"/>
      <c r="Y293" s="1632"/>
      <c r="Z293" s="1632"/>
      <c r="AA293" s="1632"/>
      <c r="AB293" s="1632"/>
      <c r="AC293" s="1632"/>
      <c r="AD293" s="1632"/>
      <c r="AE293" s="1632"/>
      <c r="AF293" s="1632">
        <v>11</v>
      </c>
    </row>
    <row customHeight="1" ht="11.549999999999999">
      <c r="A294" s="991"/>
      <c r="B294" s="1632"/>
      <c r="D294" s="1632"/>
      <c r="K294" s="1632"/>
      <c r="N294" s="1632"/>
      <c r="O294" s="1632"/>
      <c r="P294" s="1632"/>
      <c r="Q294" s="1632"/>
      <c r="S294" s="1632"/>
      <c r="T294" s="1632"/>
      <c r="U294" s="1632"/>
      <c r="V294" s="1632"/>
      <c r="W294" s="1632"/>
      <c r="X294" s="1632"/>
      <c r="Y294" s="1632"/>
      <c r="Z294" s="1632"/>
      <c r="AA294" s="1632"/>
      <c r="AB294" s="1632"/>
      <c r="AC294" s="1632"/>
      <c r="AD294" s="1632"/>
      <c r="AE294" s="1632"/>
      <c r="AF294" s="1632">
        <v>11</v>
      </c>
    </row>
    <row customHeight="1" ht="11.549999999999999">
      <c r="A295" s="991"/>
      <c r="B295" s="1632"/>
      <c r="D295" s="1632"/>
      <c r="K295" s="1632"/>
      <c r="N295" s="1632"/>
      <c r="O295" s="1632"/>
      <c r="P295" s="1632"/>
      <c r="Q295" s="1632"/>
      <c r="S295" s="1632"/>
      <c r="T295" s="1632"/>
      <c r="U295" s="1632"/>
      <c r="V295" s="1632"/>
      <c r="W295" s="1632"/>
      <c r="X295" s="1632"/>
      <c r="Y295" s="1632"/>
      <c r="Z295" s="1632"/>
      <c r="AA295" s="1632"/>
      <c r="AB295" s="1632"/>
      <c r="AC295" s="1632"/>
      <c r="AD295" s="1632"/>
      <c r="AE295" s="1632"/>
      <c r="AF295" s="1632">
        <v>11</v>
      </c>
    </row>
    <row customHeight="1" ht="11.549999999999999">
      <c r="A296" s="991"/>
      <c r="B296" s="1632"/>
      <c r="D296" s="1632"/>
      <c r="K296" s="1632"/>
      <c r="N296" s="1632"/>
      <c r="O296" s="1632"/>
      <c r="P296" s="1632"/>
      <c r="Q296" s="1632"/>
      <c r="S296" s="1632"/>
      <c r="T296" s="1632"/>
      <c r="U296" s="1632"/>
      <c r="V296" s="1632"/>
      <c r="W296" s="1632"/>
      <c r="X296" s="1632"/>
      <c r="Y296" s="1632"/>
      <c r="Z296" s="1632"/>
      <c r="AA296" s="1632"/>
      <c r="AB296" s="1632"/>
      <c r="AC296" s="1632"/>
      <c r="AD296" s="1632"/>
      <c r="AE296" s="1632"/>
      <c r="AF296" s="1632">
        <v>11</v>
      </c>
    </row>
    <row customHeight="1" ht="11.549999999999999">
      <c r="A297" s="991"/>
      <c r="B297" s="1632"/>
      <c r="D297" s="1632"/>
      <c r="K297" s="1632"/>
      <c r="N297" s="1632"/>
      <c r="O297" s="1632"/>
      <c r="P297" s="1632"/>
      <c r="Q297" s="1632"/>
      <c r="S297" s="1632"/>
      <c r="T297" s="1632"/>
      <c r="U297" s="1632"/>
      <c r="V297" s="1632"/>
      <c r="W297" s="1632"/>
      <c r="X297" s="1632"/>
      <c r="Y297" s="1632"/>
      <c r="Z297" s="1632"/>
      <c r="AA297" s="1632"/>
      <c r="AB297" s="1632"/>
      <c r="AC297" s="1632"/>
      <c r="AD297" s="1632"/>
      <c r="AE297" s="1632"/>
      <c r="AF297" s="1632">
        <v>11</v>
      </c>
    </row>
    <row customHeight="1" ht="11.549999999999999">
      <c r="A298" s="991"/>
      <c r="B298" s="1632"/>
      <c r="D298" s="1632"/>
      <c r="K298" s="1632"/>
      <c r="N298" s="1632"/>
      <c r="O298" s="1632"/>
      <c r="P298" s="1632"/>
      <c r="Q298" s="1632"/>
      <c r="S298" s="1632"/>
      <c r="T298" s="1632"/>
      <c r="U298" s="1632"/>
      <c r="V298" s="1632"/>
      <c r="W298" s="1632"/>
      <c r="X298" s="1632"/>
      <c r="Y298" s="1632"/>
      <c r="Z298" s="1632"/>
      <c r="AA298" s="1632"/>
      <c r="AB298" s="1632"/>
      <c r="AC298" s="1632"/>
      <c r="AD298" s="1632"/>
      <c r="AE298" s="1632"/>
      <c r="AF298" s="1632">
        <v>11</v>
      </c>
    </row>
    <row customHeight="1" ht="11.549999999999999">
      <c r="A299" s="991"/>
      <c r="B299" s="1632"/>
      <c r="D299" s="1632"/>
      <c r="K299" s="1632"/>
      <c r="N299" s="1632"/>
      <c r="O299" s="1632"/>
      <c r="P299" s="1632"/>
      <c r="Q299" s="1632"/>
      <c r="S299" s="1632"/>
      <c r="T299" s="1632"/>
      <c r="U299" s="1632"/>
      <c r="V299" s="1632"/>
      <c r="W299" s="1632"/>
      <c r="X299" s="1632"/>
      <c r="Y299" s="1632"/>
      <c r="Z299" s="1632"/>
      <c r="AA299" s="1632"/>
      <c r="AB299" s="1632"/>
      <c r="AC299" s="1632"/>
      <c r="AD299" s="1632"/>
      <c r="AE299" s="1632"/>
      <c r="AF299" s="1632">
        <v>11</v>
      </c>
    </row>
    <row customHeight="1" ht="11.549999999999999">
      <c r="A300" s="991"/>
      <c r="B300" s="1632"/>
      <c r="D300" s="1632"/>
      <c r="K300" s="1632"/>
      <c r="N300" s="1632"/>
      <c r="O300" s="1632"/>
      <c r="P300" s="1632"/>
      <c r="Q300" s="1632"/>
      <c r="S300" s="1632"/>
      <c r="T300" s="1632"/>
      <c r="U300" s="1632"/>
      <c r="V300" s="1632"/>
      <c r="W300" s="1632"/>
      <c r="X300" s="1632"/>
      <c r="Y300" s="1632"/>
      <c r="Z300" s="1632"/>
      <c r="AA300" s="1632"/>
      <c r="AB300" s="1632"/>
      <c r="AC300" s="1632"/>
      <c r="AD300" s="1632"/>
      <c r="AE300" s="1632"/>
      <c r="AF300" s="1632">
        <v>11</v>
      </c>
    </row>
    <row customHeight="1" ht="11.549999999999999">
      <c r="A301" s="991"/>
      <c r="B301" s="1632"/>
      <c r="D301" s="1632"/>
      <c r="K301" s="1632"/>
      <c r="N301" s="1632"/>
      <c r="O301" s="1632"/>
      <c r="P301" s="1632"/>
      <c r="Q301" s="1632"/>
      <c r="S301" s="1632"/>
      <c r="T301" s="1632"/>
      <c r="U301" s="1632"/>
      <c r="V301" s="1632"/>
      <c r="W301" s="1632"/>
      <c r="X301" s="1632"/>
      <c r="Y301" s="1632"/>
      <c r="Z301" s="1632"/>
      <c r="AA301" s="1632"/>
      <c r="AB301" s="1632"/>
      <c r="AC301" s="1632"/>
      <c r="AD301" s="1632"/>
      <c r="AE301" s="1632"/>
      <c r="AF301" s="1632">
        <v>11</v>
      </c>
    </row>
    <row customHeight="1" ht="11.549999999999999">
      <c r="A302" s="991"/>
      <c r="B302" s="1632"/>
      <c r="D302" s="1632"/>
      <c r="K302" s="1632"/>
      <c r="N302" s="1632"/>
      <c r="O302" s="1632"/>
      <c r="P302" s="1632"/>
      <c r="Q302" s="1632"/>
      <c r="S302" s="1632"/>
      <c r="T302" s="1632"/>
      <c r="U302" s="1632"/>
      <c r="V302" s="1632"/>
      <c r="W302" s="1632"/>
      <c r="X302" s="1632"/>
      <c r="Y302" s="1632"/>
      <c r="Z302" s="1632"/>
      <c r="AA302" s="1632"/>
      <c r="AB302" s="1632"/>
      <c r="AC302" s="1632"/>
      <c r="AD302" s="1632"/>
      <c r="AE302" s="1632"/>
      <c r="AF302" s="1632">
        <v>11</v>
      </c>
    </row>
    <row customHeight="1" ht="11.25" hidden="1">
      <c r="A303" s="988" t="s">
        <v>83</v>
      </c>
      <c r="B303" s="1161">
        <v>0</v>
      </c>
      <c r="C303" s="1637">
        <v>0</v>
      </c>
      <c r="D303" s="1636">
        <v>3</v>
      </c>
      <c r="E303" s="1632">
        <v>7</v>
      </c>
      <c r="F303" s="1632">
        <v>54</v>
      </c>
      <c r="G303" s="1632">
        <v>10</v>
      </c>
      <c r="H303" s="1632">
        <v>0</v>
      </c>
      <c r="I303" s="1632">
        <v>40</v>
      </c>
      <c r="J303" s="1632">
        <v>102</v>
      </c>
      <c r="K303" s="1161">
        <v>9</v>
      </c>
      <c r="L303" s="1637">
        <v>5</v>
      </c>
      <c r="M303" s="1637">
        <v>3</v>
      </c>
      <c r="N303" s="1161">
        <v>3</v>
      </c>
      <c r="O303" s="1161">
        <v>3</v>
      </c>
      <c r="P303" s="1161">
        <v>3</v>
      </c>
      <c r="Q303" s="1161">
        <v>3</v>
      </c>
      <c r="R303" s="1637">
        <v>10</v>
      </c>
      <c r="S303" s="1161">
        <v>34</v>
      </c>
      <c r="T303" s="1161">
        <v>9</v>
      </c>
      <c r="U303" s="545">
        <v>8</v>
      </c>
      <c r="V303" s="1161">
        <v>8</v>
      </c>
      <c r="W303" s="1161">
        <v>8</v>
      </c>
      <c r="X303" s="1161">
        <v>8</v>
      </c>
      <c r="Y303" s="1161">
        <v>8</v>
      </c>
      <c r="Z303" s="1161">
        <v>8</v>
      </c>
      <c r="AA303" s="1633">
        <v>8</v>
      </c>
      <c r="AB303" s="1633">
        <v>8</v>
      </c>
      <c r="AC303" s="1633">
        <v>8</v>
      </c>
      <c r="AD303" s="1633">
        <v>8</v>
      </c>
      <c r="AE303" s="1633">
        <v>8</v>
      </c>
      <c r="AF303" s="1632">
        <v>11</v>
      </c>
    </row>
  </sheetData>
  <sheetProtection formatColumns="0" formatRows="0" autoFilter="0" sort="0" insertRows="0" insertColumns="1" deleteRows="0" deleteColumns="0"/>
  <mergeCells count="18">
    <mergeCell ref="A120:A130"/>
    <mergeCell ref="E21:I21"/>
    <mergeCell ref="E22:I22"/>
    <mergeCell ref="A33:A40"/>
    <mergeCell ref="B34:B39"/>
    <mergeCell ref="A41:A43"/>
    <mergeCell ref="A67:A68"/>
    <mergeCell ref="A82:A90"/>
    <mergeCell ref="A91:A95"/>
    <mergeCell ref="A96:A98"/>
    <mergeCell ref="A99:A111"/>
    <mergeCell ref="A115:A119"/>
    <mergeCell ref="B2:B7"/>
    <mergeCell ref="J25:J29"/>
    <mergeCell ref="F25:G25"/>
    <mergeCell ref="F26:G26"/>
    <mergeCell ref="F27:G27"/>
    <mergeCell ref="E28:G28"/>
  </mergeCells>
  <dataValidations count="12">
    <dataValidation allowBlank="1" showInputMessage="1" showErrorMessage="1" prompt="Для выбора выполните двойной щелчок левой клавиши мыши по соответствующей ячейке." sqref="H68:I68 H66:I66"/>
    <dataValidation type="decimal" allowBlank="1" showErrorMessage="1" errorTitle="Ошибка" error="Введите значение от 0 до 100%" sqref="H90:I90 H95:I95">
      <formula1>0</formula1>
      <formula2>100</formula2>
    </dataValidation>
    <dataValidation type="decimal" allowBlank="1" showErrorMessage="1" errorTitle="Ошибка" error="Допускается ввод только действительных чисел!" sqref="H123:I123 H120:I120 H126:I126 H75:I80">
      <formula1>-9.99999999999999E+37</formula1>
      <formula2>9.99999999999999E+37</formula2>
    </dataValidation>
    <dataValidation type="decimal" allowBlank="1" showErrorMessage="1" errorTitle="Ошибка" error="Допускается ввод только действительных чисел!" sqref="H72:I73">
      <formula1>-9.99999999999999E+23</formula1>
      <formula2>9.99999999999999E+23</formula2>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H128:I130 H81:I81">
      <formula1>900</formula1>
    </dataValidation>
    <dataValidation type="list" allowBlank="1" showInputMessage="1" showErrorMessage="1" errorTitle="Ошибка" error="Выберите значение из списка" prompt="Выберите значение из списка" sqref="G93">
      <formula1>kind_of_volume_te_unit</formula1>
    </dataValidation>
    <dataValidation type="list" allowBlank="1" showInputMessage="1" showErrorMessage="1" errorTitle="Ошибка" error="Выберите значение из списка" prompt="Выберите значение из списка" sqref="F2">
      <formula1>kind_of_fuels</formula1>
    </dataValidation>
    <dataValidation type="textLength" operator="lessThanOrEqual" allowBlank="1" showInputMessage="1" showErrorMessage="1" errorTitle="Ошибка" error="Допускается ввод не более 900 символов!" prompt="Введите источник тепловой энергии" sqref="1:1">
      <formula1>900</formula1>
    </dataValidation>
    <dataValidation type="decimal" allowBlank="1" showErrorMessage="1" errorTitle="Ошибка" error="Допускается ввод только неотрицательных чисел!" sqref="H67:I67 H69:I69 H91:I94 H127:I127 H30:I30 H32:I33 H35:I38 H40:I65 H82:I86 H17:I17 H9:I13 H15:I15 H96:I119 H74:I74 H88:I89 H4:I6">
      <formula1>0</formula1>
      <formula2>9.99999999999999E+23</formula2>
    </dataValidation>
    <dataValidation type="textLength" operator="lessThanOrEqual" allowBlank="1" showInputMessage="1" showErrorMessage="1" errorTitle="Ошибка" error="Допускается ввод не более 900 символов!" sqref="G4 H34:I34 H39:I39">
      <formula1>900</formula1>
    </dataValidation>
    <dataValidation type="textLength" operator="lessThanOrEqual" allowBlank="1" showInputMessage="1" showErrorMessage="1" errorTitle="Ошибка" error="Допускается ввод не более 900 символов!" prompt="Введите наименование прочих расходов" sqref="F12 F10 H70:I70">
      <formula1>900</formula1>
    </dataValidation>
    <dataValidation type="list" allowBlank="1" showInputMessage="1" showErrorMessage="1" errorTitle="Ошибка" error="Выберите значение из списка" prompt="Выберите значение из списка" sqref="H7:I7">
      <formula1>kind_of_purchase_method</formula1>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15592568-DBF8-75A8-89AC-E0E1CA96B8AB}" mc:Ignorable="x14ac xr xr2 xr3">
  <sheetPr>
    <tabColor theme="9" tint="-0.25"/>
  </sheetPr>
  <dimension ref="A1:CF29"/>
  <sheetViews>
    <sheetView topLeftCell="C4" showGridLines="0" zoomScale="90" workbookViewId="0">
      <selection activeCell="A1" sqref="A1"/>
    </sheetView>
  </sheetViews>
  <sheetFormatPr defaultColWidth="9.140625" customHeight="1" defaultRowHeight="11.25"/>
  <cols>
    <col min="1" max="1" style="944" width="14.7109375" hidden="1" customWidth="1"/>
    <col min="2" max="2" style="1633" width="17.00390625" hidden="1" customWidth="1"/>
    <col min="3" max="3" style="1636" width="3.00390625" customWidth="1"/>
    <col min="4" max="4" style="1636" width="1.8515625" hidden="1" customWidth="1"/>
    <col min="5" max="6" style="1636" width="7.00390625" customWidth="1"/>
    <col min="7" max="7" style="1636" width="29.00390625" customWidth="1"/>
    <col min="8" max="8" style="1636" width="3.7109375" customWidth="1"/>
    <col min="9" max="9" style="1636" width="5.00390625" customWidth="1"/>
    <col min="10" max="11" style="1636" width="24.00390625" customWidth="1"/>
    <col min="12" max="12" style="1636" width="3.00390625" customWidth="1"/>
    <col min="13" max="13" style="1636" width="6.00390625" customWidth="1"/>
    <col min="14" max="14" style="1636" width="25.00390625" customWidth="1"/>
    <col min="15" max="18" style="1636" width="18.00390625" customWidth="1"/>
    <col min="19" max="19" style="1636" width="93.00390625" customWidth="1"/>
    <col min="20" max="20" style="1636" width="10.00390625" customWidth="1"/>
    <col min="21" max="21" style="1643" width="10.00390625" customWidth="1"/>
    <col min="22" max="22" style="1643" width="11.00390625" customWidth="1"/>
    <col min="23" max="27" style="1633" width="10.00390625" customWidth="1"/>
    <col min="28" max="83" style="1636" width="8.00390625" customWidth="1"/>
    <col min="84" max="84" style="1636" width="9.140625" hidden="1"/>
  </cols>
  <sheetData>
    <row customHeight="1" ht="22.5" hidden="1">
      <c r="CF1" s="506" t="s">
        <v>14</v>
      </c>
    </row>
    <row customHeight="1" ht="11.25" hidden="1">
      <c r="CF2" s="506">
        <v>0</v>
      </c>
    </row>
    <row customHeight="1" ht="11.25" hidden="1">
      <c r="CF3" s="506">
        <v>0</v>
      </c>
    </row>
    <row customHeight="1" ht="3">
      <c r="C4" s="510"/>
      <c r="D4" s="510"/>
      <c r="E4" s="510"/>
      <c r="F4" s="510"/>
      <c r="G4" s="510"/>
      <c r="H4" s="510"/>
      <c r="I4" s="510"/>
      <c r="J4" s="510"/>
      <c r="K4" s="167"/>
      <c r="L4" s="167"/>
      <c r="M4" s="167"/>
      <c r="CF4" s="506">
        <v>3</v>
      </c>
    </row>
    <row customHeight="1" ht="29.25">
      <c r="C5" s="510"/>
      <c r="D5" s="1058"/>
      <c r="E5" s="2238" t="str">
        <f>FHD20_NAME_FORM</f>
        <v>Форма 11. Информация о расходах на капитальный и текущий ремонт основных средств</v>
      </c>
      <c r="F5" s="2238"/>
      <c r="G5" s="2238"/>
      <c r="H5" s="2238"/>
      <c r="I5" s="2238"/>
      <c r="J5" s="2238"/>
      <c r="K5" s="2238"/>
      <c r="L5" s="614"/>
      <c r="M5" s="614"/>
      <c r="CF5" s="506">
        <v>28</v>
      </c>
    </row>
    <row s="1636" customFormat="1" customHeight="1" ht="16.8">
      <c r="A6" s="611"/>
      <c r="B6" s="760"/>
      <c r="C6" s="510"/>
      <c r="D6" s="1059"/>
      <c r="E6" s="2177" t="str">
        <f>IF(org=0,"Не определено",org)</f>
        <v>ПАО "КГК"</v>
      </c>
      <c r="F6" s="2177"/>
      <c r="G6" s="2177"/>
      <c r="H6" s="2177"/>
      <c r="I6" s="2177"/>
      <c r="J6" s="2177"/>
      <c r="K6" s="2177"/>
      <c r="L6" s="614"/>
      <c r="M6" s="614"/>
      <c r="U6" s="612"/>
      <c r="V6" s="612"/>
      <c r="W6" s="613"/>
      <c r="X6" s="760"/>
      <c r="Y6" s="760"/>
      <c r="Z6" s="760"/>
      <c r="AA6" s="760"/>
      <c r="CF6" s="759">
        <v>16</v>
      </c>
    </row>
    <row customHeight="1" ht="11.549999999999999">
      <c r="C7" s="510"/>
      <c r="D7" s="510"/>
      <c r="E7" s="510"/>
      <c r="F7" s="510"/>
      <c r="G7" s="523"/>
      <c r="H7" s="523"/>
      <c r="I7" s="523"/>
      <c r="J7" s="523"/>
      <c r="K7" s="615"/>
      <c r="L7" s="615"/>
      <c r="M7" s="615"/>
      <c r="R7" s="753"/>
      <c r="CF7" s="506">
        <v>11</v>
      </c>
    </row>
    <row s="1642" customFormat="1" customHeight="1" ht="4.2">
      <c r="A8" s="622"/>
      <c r="B8" s="567"/>
      <c r="C8" s="352"/>
      <c r="D8" s="352"/>
      <c r="E8" s="352"/>
      <c r="F8" s="352"/>
      <c r="G8" s="976"/>
      <c r="H8" s="976"/>
      <c r="I8" s="976"/>
      <c r="J8" s="976"/>
      <c r="K8" s="1019"/>
      <c r="L8" s="1019"/>
      <c r="M8" s="1019"/>
      <c r="R8" s="1020"/>
      <c r="U8" s="612"/>
      <c r="V8" s="612"/>
      <c r="W8" s="623"/>
      <c r="X8" s="567"/>
      <c r="Y8" s="567"/>
      <c r="Z8" s="567"/>
      <c r="AA8" s="567"/>
      <c r="CF8" s="497">
        <v>4</v>
      </c>
    </row>
    <row customHeight="1" ht="19.95">
      <c r="D9" s="290"/>
      <c r="E9" s="2102" t="s">
        <v>317</v>
      </c>
      <c r="F9" s="2103"/>
      <c r="G9" s="2103"/>
      <c r="H9" s="2103"/>
      <c r="I9" s="2103"/>
      <c r="J9" s="2103"/>
      <c r="K9" s="2103"/>
      <c r="L9" s="2103"/>
      <c r="M9" s="2103"/>
      <c r="N9" s="2103"/>
      <c r="O9" s="2103"/>
      <c r="P9" s="2103"/>
      <c r="Q9" s="2103"/>
      <c r="R9" s="2104"/>
      <c r="S9" s="2128" t="s">
        <v>318</v>
      </c>
      <c r="T9" s="335"/>
      <c r="CF9" s="506">
        <v>19</v>
      </c>
    </row>
    <row customHeight="1" ht="48.29999999999999">
      <c r="D10" s="552" t="s">
        <v>89</v>
      </c>
      <c r="E10" s="2128" t="s">
        <v>89</v>
      </c>
      <c r="F10" s="2128"/>
      <c r="G10" s="522" t="s">
        <v>319</v>
      </c>
      <c r="H10" s="2128" t="s">
        <v>89</v>
      </c>
      <c r="I10" s="2128"/>
      <c r="J10" s="522" t="s">
        <v>621</v>
      </c>
      <c r="K10" s="522" t="s">
        <v>622</v>
      </c>
      <c r="L10" s="2128" t="s">
        <v>89</v>
      </c>
      <c r="M10" s="2128"/>
      <c r="N10" s="522" t="s">
        <v>623</v>
      </c>
      <c r="O10" s="522" t="s">
        <v>624</v>
      </c>
      <c r="P10" s="522" t="s">
        <v>625</v>
      </c>
      <c r="Q10" s="522" t="s">
        <v>626</v>
      </c>
      <c r="R10" s="522" t="s">
        <v>627</v>
      </c>
      <c r="S10" s="2128"/>
      <c r="T10" s="335"/>
      <c r="CF10" s="506">
        <v>46</v>
      </c>
    </row>
    <row s="1643" customFormat="1" customHeight="1" ht="15" hidden="1">
      <c r="A11" s="1053"/>
      <c r="D11" s="1026" t="s">
        <v>118</v>
      </c>
      <c r="E11" s="1026"/>
      <c r="F11" s="1026" t="s">
        <v>103</v>
      </c>
      <c r="G11" s="1026" t="s">
        <v>91</v>
      </c>
      <c r="H11" s="1026"/>
      <c r="I11" s="1026" t="s">
        <v>92</v>
      </c>
      <c r="J11" s="1026" t="s">
        <v>119</v>
      </c>
      <c r="K11" s="1026" t="s">
        <v>93</v>
      </c>
      <c r="L11" s="1026"/>
      <c r="M11" s="1026" t="s">
        <v>94</v>
      </c>
      <c r="N11" s="1026" t="s">
        <v>120</v>
      </c>
      <c r="O11" s="1026" t="s">
        <v>156</v>
      </c>
      <c r="P11" s="1026" t="s">
        <v>157</v>
      </c>
      <c r="Q11" s="1026" t="s">
        <v>158</v>
      </c>
      <c r="R11" s="1026" t="s">
        <v>159</v>
      </c>
      <c r="S11" s="1026" t="s">
        <v>160</v>
      </c>
      <c r="U11" s="612"/>
      <c r="V11" s="612"/>
      <c r="W11" s="612"/>
      <c r="CF11" s="512">
        <v>0</v>
      </c>
    </row>
    <row s="1636" customFormat="1" customHeight="1" ht="1.05">
      <c r="A12" s="616"/>
      <c r="B12" s="363"/>
      <c r="D12" s="549"/>
      <c r="E12" s="347"/>
      <c r="F12" s="347"/>
      <c r="Q12" s="617"/>
      <c r="R12" s="618"/>
      <c r="T12" s="619"/>
      <c r="U12" s="620"/>
      <c r="V12" s="620"/>
      <c r="W12" s="621"/>
      <c r="X12" s="363"/>
      <c r="Y12" s="363"/>
      <c r="Z12" s="363"/>
      <c r="AA12" s="363"/>
      <c r="CF12" s="510">
        <v>1</v>
      </c>
    </row>
    <row s="1642" customFormat="1" customHeight="1" ht="1.05">
      <c r="A13" s="622"/>
      <c r="B13" s="567"/>
      <c r="D13" s="549" t="s">
        <v>393</v>
      </c>
      <c r="E13" s="561"/>
      <c r="F13" s="561"/>
      <c r="G13" s="561"/>
      <c r="H13" s="561"/>
      <c r="I13" s="561"/>
      <c r="J13" s="561"/>
      <c r="K13" s="561"/>
      <c r="L13" s="561"/>
      <c r="M13" s="561"/>
      <c r="N13" s="561"/>
      <c r="O13" s="561"/>
      <c r="P13" s="561"/>
      <c r="Q13" s="561"/>
      <c r="R13" s="561"/>
      <c r="T13" s="335"/>
      <c r="U13" s="612"/>
      <c r="V13" s="612"/>
      <c r="W13" s="623"/>
      <c r="X13" s="567"/>
      <c r="Y13" s="567"/>
      <c r="Z13" s="567"/>
      <c r="AA13" s="567"/>
      <c r="CF13" s="497">
        <v>1</v>
      </c>
    </row>
    <row s="1851" customFormat="1" customHeight="1" ht="15" hidden="1">
      <c r="A14" s="624" t="s">
        <v>125</v>
      </c>
      <c r="B14" s="625"/>
      <c r="C14" s="625"/>
      <c r="D14" s="2381" t="s">
        <v>118</v>
      </c>
      <c r="E14" s="2378" t="s">
        <v>114</v>
      </c>
      <c r="F14" s="2379"/>
      <c r="G14" s="2380"/>
      <c r="H14" s="2384">
        <f>IF(A14="","",INDEX(DIFFERENTIATION_UNMERGE_VD,MATCH(A14,DIFFERENTIATION_ID_DIFF,0)))</f>
        <v>0</v>
      </c>
      <c r="I14" s="2384"/>
      <c r="J14" s="2384"/>
      <c r="K14" s="2384"/>
      <c r="L14" s="2384"/>
      <c r="M14" s="2384"/>
      <c r="N14" s="2384"/>
      <c r="O14" s="2384"/>
      <c r="P14" s="2384"/>
      <c r="Q14" s="2384"/>
      <c r="R14" s="2384"/>
      <c r="S14" s="720"/>
      <c r="T14" s="717"/>
      <c r="U14" s="626"/>
      <c r="V14" s="626"/>
      <c r="W14" s="627"/>
      <c r="X14" s="627"/>
      <c r="Y14" s="627"/>
      <c r="Z14" s="627"/>
      <c r="AA14" s="628"/>
      <c r="AB14" s="629"/>
      <c r="AC14" s="2376"/>
      <c r="AD14" s="630"/>
      <c r="AE14" s="631" t="s">
        <v>28</v>
      </c>
      <c r="AF14" s="631"/>
      <c r="AG14" s="632" t="s">
        <v>628</v>
      </c>
      <c r="AH14" s="633">
        <v>3</v>
      </c>
      <c r="AI14" s="626"/>
      <c r="AJ14" s="626"/>
      <c r="AK14" s="626"/>
      <c r="AL14" s="626"/>
      <c r="AM14" s="626"/>
      <c r="AN14" s="626"/>
      <c r="AO14" s="626"/>
      <c r="AP14" s="626"/>
      <c r="AQ14" s="626"/>
      <c r="AR14" s="626"/>
      <c r="AS14" s="626"/>
      <c r="AT14" s="626"/>
      <c r="AU14" s="626"/>
      <c r="AV14" s="626"/>
      <c r="AW14" s="626"/>
      <c r="AX14" s="626"/>
      <c r="AY14" s="626"/>
      <c r="AZ14" s="626"/>
      <c r="BA14" s="626"/>
      <c r="BB14" s="626"/>
      <c r="BC14" s="626"/>
      <c r="BD14" s="626"/>
      <c r="BE14" s="626"/>
      <c r="BF14" s="626"/>
      <c r="BG14" s="626"/>
      <c r="BH14" s="626"/>
      <c r="BI14" s="626"/>
      <c r="BJ14" s="626"/>
      <c r="BK14" s="626"/>
      <c r="BL14" s="626"/>
      <c r="BM14" s="626"/>
      <c r="BN14" s="626"/>
      <c r="BO14" s="626"/>
      <c r="BP14" s="626"/>
      <c r="BQ14" s="626"/>
      <c r="BR14" s="626"/>
      <c r="BS14" s="626"/>
      <c r="BT14" s="626"/>
      <c r="BU14" s="626"/>
      <c r="BV14" s="627"/>
      <c r="BW14" s="627"/>
      <c r="BX14" s="627"/>
      <c r="BY14" s="627"/>
      <c r="BZ14" s="627"/>
      <c r="CA14" s="627"/>
      <c r="CB14" s="627"/>
      <c r="CC14" s="627"/>
      <c r="CD14" s="627"/>
      <c r="CE14" s="627"/>
      <c r="CF14" s="294">
        <v>0</v>
      </c>
    </row>
    <row s="1851" customFormat="1" customHeight="1" ht="15" hidden="1">
      <c r="A15" s="624"/>
      <c r="B15" s="625"/>
      <c r="C15" s="625"/>
      <c r="D15" s="2382"/>
      <c r="E15" s="2378" t="s">
        <v>583</v>
      </c>
      <c r="F15" s="2379"/>
      <c r="G15" s="2380"/>
      <c r="H15" s="2384" t="str">
        <f>IF(A14="","",INDEX(DIFFERENTIATION_UNMERGE_AREA,MATCH(A14,DIFFERENTIATION_ID_DIFF,0)))</f>
        <v/>
      </c>
      <c r="I15" s="2384"/>
      <c r="J15" s="2384"/>
      <c r="K15" s="2384"/>
      <c r="L15" s="2384"/>
      <c r="M15" s="2384"/>
      <c r="N15" s="2384"/>
      <c r="O15" s="2384"/>
      <c r="P15" s="2384"/>
      <c r="Q15" s="2384"/>
      <c r="R15" s="2384"/>
      <c r="S15" s="720"/>
      <c r="T15" s="717"/>
      <c r="U15" s="626"/>
      <c r="V15" s="626"/>
      <c r="W15" s="627"/>
      <c r="X15" s="627"/>
      <c r="Y15" s="627"/>
      <c r="Z15" s="627"/>
      <c r="AA15" s="628"/>
      <c r="AB15" s="629"/>
      <c r="AC15" s="2376"/>
      <c r="AD15" s="630"/>
      <c r="AE15" s="631"/>
      <c r="AF15" s="631"/>
      <c r="AG15" s="632"/>
      <c r="AH15" s="633"/>
      <c r="AI15" s="626"/>
      <c r="AJ15" s="626"/>
      <c r="AK15" s="626"/>
      <c r="AL15" s="626"/>
      <c r="AM15" s="626"/>
      <c r="AN15" s="626"/>
      <c r="AO15" s="626"/>
      <c r="AP15" s="626"/>
      <c r="AQ15" s="626"/>
      <c r="AR15" s="626"/>
      <c r="AS15" s="626"/>
      <c r="AT15" s="626"/>
      <c r="AU15" s="626"/>
      <c r="AV15" s="626"/>
      <c r="AW15" s="626"/>
      <c r="AX15" s="626"/>
      <c r="AY15" s="626"/>
      <c r="AZ15" s="626"/>
      <c r="BA15" s="626"/>
      <c r="BB15" s="626"/>
      <c r="BC15" s="626"/>
      <c r="BD15" s="626"/>
      <c r="BE15" s="626"/>
      <c r="BF15" s="626"/>
      <c r="BG15" s="626"/>
      <c r="BH15" s="626"/>
      <c r="BI15" s="626"/>
      <c r="BJ15" s="626"/>
      <c r="BK15" s="626"/>
      <c r="BL15" s="626"/>
      <c r="BM15" s="626"/>
      <c r="BN15" s="626"/>
      <c r="BO15" s="626"/>
      <c r="BP15" s="626"/>
      <c r="BQ15" s="626"/>
      <c r="BR15" s="626"/>
      <c r="BS15" s="626"/>
      <c r="BT15" s="626"/>
      <c r="BU15" s="626"/>
      <c r="BV15" s="627"/>
      <c r="BW15" s="627"/>
      <c r="BX15" s="627"/>
      <c r="BY15" s="627"/>
      <c r="BZ15" s="627"/>
      <c r="CA15" s="627"/>
      <c r="CB15" s="627"/>
      <c r="CC15" s="627"/>
      <c r="CD15" s="627"/>
      <c r="CE15" s="627"/>
      <c r="CF15" s="294">
        <v>0</v>
      </c>
    </row>
    <row s="1851" customFormat="1" customHeight="1" ht="15" hidden="1">
      <c r="A16" s="624"/>
      <c r="B16" s="625"/>
      <c r="C16" s="625"/>
      <c r="D16" s="2382"/>
      <c r="E16" s="2378" t="s">
        <v>584</v>
      </c>
      <c r="F16" s="2379"/>
      <c r="G16" s="2380"/>
      <c r="H16" s="2384" t="str">
        <f>IF(A14="","",INDEX(DIFFERENTIATION_UNMERGE_SYSTEM,MATCH(A14,DIFFERENTIATION_ID_DIFF,0)))</f>
        <v>без дифференциации</v>
      </c>
      <c r="I16" s="2384"/>
      <c r="J16" s="2384"/>
      <c r="K16" s="2384"/>
      <c r="L16" s="2384"/>
      <c r="M16" s="2384"/>
      <c r="N16" s="2384"/>
      <c r="O16" s="2384"/>
      <c r="P16" s="2384"/>
      <c r="Q16" s="2384"/>
      <c r="R16" s="2384"/>
      <c r="S16" s="720"/>
      <c r="T16" s="717"/>
      <c r="U16" s="626"/>
      <c r="V16" s="626"/>
      <c r="W16" s="627"/>
      <c r="X16" s="627"/>
      <c r="Y16" s="627"/>
      <c r="Z16" s="627"/>
      <c r="AA16" s="628"/>
      <c r="AB16" s="629"/>
      <c r="AC16" s="2376"/>
      <c r="AD16" s="630"/>
      <c r="AE16" s="631"/>
      <c r="AF16" s="631"/>
      <c r="AG16" s="632"/>
      <c r="AH16" s="633"/>
      <c r="AI16" s="626"/>
      <c r="AJ16" s="626"/>
      <c r="AK16" s="626"/>
      <c r="AL16" s="626"/>
      <c r="AM16" s="626"/>
      <c r="AN16" s="626"/>
      <c r="AO16" s="626"/>
      <c r="AP16" s="626"/>
      <c r="AQ16" s="626"/>
      <c r="AR16" s="626"/>
      <c r="AS16" s="626"/>
      <c r="AT16" s="626"/>
      <c r="AU16" s="626"/>
      <c r="AV16" s="626"/>
      <c r="AW16" s="626"/>
      <c r="AX16" s="626"/>
      <c r="AY16" s="626"/>
      <c r="AZ16" s="626"/>
      <c r="BA16" s="626"/>
      <c r="BB16" s="626"/>
      <c r="BC16" s="626"/>
      <c r="BD16" s="626"/>
      <c r="BE16" s="626"/>
      <c r="BF16" s="626"/>
      <c r="BG16" s="626"/>
      <c r="BH16" s="626"/>
      <c r="BI16" s="626"/>
      <c r="BJ16" s="626"/>
      <c r="BK16" s="626"/>
      <c r="BL16" s="626"/>
      <c r="BM16" s="626"/>
      <c r="BN16" s="626"/>
      <c r="BO16" s="626"/>
      <c r="BP16" s="626"/>
      <c r="BQ16" s="626"/>
      <c r="BR16" s="626"/>
      <c r="BS16" s="626"/>
      <c r="BT16" s="626"/>
      <c r="BU16" s="626"/>
      <c r="BV16" s="627"/>
      <c r="BW16" s="627"/>
      <c r="BX16" s="627"/>
      <c r="BY16" s="627"/>
      <c r="BZ16" s="627"/>
      <c r="CA16" s="627"/>
      <c r="CB16" s="627"/>
      <c r="CC16" s="627"/>
      <c r="CD16" s="627"/>
      <c r="CE16" s="627"/>
      <c r="CF16" s="294">
        <v>0</v>
      </c>
    </row>
    <row s="1851" customFormat="1" customHeight="1" ht="22.5" hidden="1">
      <c r="A17" s="634"/>
      <c r="B17" s="418"/>
      <c r="C17" s="413"/>
      <c r="D17" s="2382"/>
      <c r="E17" s="2377" t="s">
        <v>629</v>
      </c>
      <c r="F17" s="2377"/>
      <c r="G17" s="2377"/>
      <c r="H17" s="2377"/>
      <c r="I17" s="2377"/>
      <c r="J17" s="2377"/>
      <c r="K17" s="2377"/>
      <c r="L17" s="2377"/>
      <c r="M17" s="2377"/>
      <c r="N17" s="2377"/>
      <c r="O17" s="2377"/>
      <c r="P17" s="2377"/>
      <c r="Q17" s="559">
        <f>SUMIF(T18:T19,"i",Q18:Q19)</f>
        <v>0</v>
      </c>
      <c r="R17" s="1018"/>
      <c r="S17" s="898" t="s">
        <v>630</v>
      </c>
      <c r="T17" s="718" t="s">
        <v>631</v>
      </c>
      <c r="U17" s="2375">
        <v>1</v>
      </c>
      <c r="V17" s="2375" t="str">
        <f>INDEX(B_FHD_FLAG_INDEX_1,1,MATCH(A14,B_FHD_FLAG_DIFFERENTIATION,0))</f>
        <v>отсутствует</v>
      </c>
      <c r="W17" s="418"/>
      <c r="X17" s="418"/>
      <c r="Y17" s="418"/>
      <c r="Z17" s="418"/>
      <c r="AA17" s="512"/>
      <c r="AB17" s="418"/>
      <c r="AC17" s="2376"/>
      <c r="AD17" s="630"/>
      <c r="AE17" s="418"/>
      <c r="AF17" s="418"/>
      <c r="AG17" s="512"/>
      <c r="AH17" s="512"/>
      <c r="AI17" s="512"/>
      <c r="AJ17" s="512"/>
      <c r="AK17" s="512"/>
      <c r="AL17" s="512"/>
      <c r="AM17" s="512"/>
      <c r="AN17" s="512"/>
      <c r="AO17" s="512"/>
      <c r="AP17" s="512"/>
      <c r="AQ17" s="512"/>
      <c r="AR17" s="512"/>
      <c r="AS17" s="512"/>
      <c r="AT17" s="512"/>
      <c r="AU17" s="512"/>
      <c r="AV17" s="512"/>
      <c r="AW17" s="512"/>
      <c r="AX17" s="512"/>
      <c r="AY17" s="512"/>
      <c r="AZ17" s="512"/>
      <c r="BA17" s="512"/>
      <c r="BB17" s="512"/>
      <c r="BC17" s="512"/>
      <c r="BD17" s="512"/>
      <c r="BE17" s="512"/>
      <c r="BF17" s="512"/>
      <c r="BG17" s="512"/>
      <c r="BH17" s="512"/>
      <c r="BI17" s="512"/>
      <c r="BJ17" s="512"/>
      <c r="BK17" s="512"/>
      <c r="BL17" s="512"/>
      <c r="BM17" s="512"/>
      <c r="BN17" s="512"/>
      <c r="BO17" s="512"/>
      <c r="BP17" s="512"/>
      <c r="BQ17" s="512"/>
      <c r="BR17" s="512"/>
      <c r="BS17" s="512"/>
      <c r="BT17" s="512"/>
      <c r="BU17" s="512"/>
      <c r="BV17" s="418"/>
      <c r="BW17" s="418"/>
      <c r="BX17" s="418"/>
      <c r="BY17" s="418"/>
      <c r="BZ17" s="418"/>
      <c r="CA17" s="418"/>
      <c r="CB17" s="418"/>
      <c r="CC17" s="418"/>
      <c r="CD17" s="418"/>
      <c r="CE17" s="418"/>
      <c r="CF17" s="294">
        <v>0</v>
      </c>
    </row>
    <row s="1851" customFormat="1" customHeight="1" ht="11.25" hidden="1">
      <c r="A18" s="635"/>
      <c r="B18" s="512"/>
      <c r="C18" s="512"/>
      <c r="D18" s="2382"/>
      <c r="E18" s="636"/>
      <c r="F18" s="636">
        <v>0</v>
      </c>
      <c r="G18" s="636"/>
      <c r="H18" s="636"/>
      <c r="I18" s="636"/>
      <c r="J18" s="636"/>
      <c r="K18" s="636"/>
      <c r="L18" s="636"/>
      <c r="M18" s="636"/>
      <c r="N18" s="636"/>
      <c r="O18" s="636"/>
      <c r="P18" s="636"/>
      <c r="Q18" s="636"/>
      <c r="R18" s="636"/>
      <c r="S18" s="637"/>
      <c r="T18" s="719"/>
      <c r="U18" s="2375"/>
      <c r="V18" s="2375"/>
      <c r="W18" s="512"/>
      <c r="X18" s="512"/>
      <c r="Y18" s="512"/>
      <c r="Z18" s="512"/>
      <c r="AA18" s="512"/>
      <c r="AB18" s="418"/>
      <c r="AC18" s="2376"/>
      <c r="AD18" s="630"/>
      <c r="AE18" s="418"/>
      <c r="AF18" s="418"/>
      <c r="AG18" s="512"/>
      <c r="AH18" s="512"/>
      <c r="AI18" s="512"/>
      <c r="AJ18" s="512"/>
      <c r="AK18" s="512"/>
      <c r="AL18" s="512"/>
      <c r="AM18" s="512"/>
      <c r="AN18" s="512"/>
      <c r="AO18" s="512"/>
      <c r="AP18" s="512"/>
      <c r="AQ18" s="512"/>
      <c r="AR18" s="512"/>
      <c r="AS18" s="512"/>
      <c r="AT18" s="512"/>
      <c r="AU18" s="512"/>
      <c r="AV18" s="512"/>
      <c r="AW18" s="512"/>
      <c r="AX18" s="512"/>
      <c r="AY18" s="512"/>
      <c r="AZ18" s="512"/>
      <c r="BA18" s="512"/>
      <c r="BB18" s="512"/>
      <c r="BC18" s="512"/>
      <c r="BD18" s="512"/>
      <c r="BE18" s="512"/>
      <c r="BF18" s="512"/>
      <c r="BG18" s="512"/>
      <c r="BH18" s="512"/>
      <c r="BI18" s="512"/>
      <c r="BJ18" s="512"/>
      <c r="BK18" s="512"/>
      <c r="BL18" s="512"/>
      <c r="BM18" s="512"/>
      <c r="BN18" s="512"/>
      <c r="BO18" s="512"/>
      <c r="BP18" s="512"/>
      <c r="BQ18" s="512"/>
      <c r="BR18" s="512"/>
      <c r="BS18" s="512"/>
      <c r="BT18" s="512"/>
      <c r="BU18" s="512"/>
      <c r="BV18" s="512"/>
      <c r="BW18" s="512"/>
      <c r="BX18" s="512"/>
      <c r="BY18" s="512"/>
      <c r="BZ18" s="512"/>
      <c r="CA18" s="512"/>
      <c r="CB18" s="512"/>
      <c r="CC18" s="512"/>
      <c r="CD18" s="512"/>
      <c r="CE18" s="512"/>
      <c r="CF18" s="294">
        <v>0</v>
      </c>
    </row>
    <row s="1851" customFormat="1" customHeight="1" ht="11.25" hidden="1">
      <c r="A19" s="634"/>
      <c r="B19" s="418"/>
      <c r="C19" s="413"/>
      <c r="D19" s="2382"/>
      <c r="E19" s="650" t="s">
        <v>28</v>
      </c>
      <c r="F19" s="651" t="s">
        <v>28</v>
      </c>
      <c r="G19" s="651" t="s">
        <v>28</v>
      </c>
      <c r="H19" s="652" t="s">
        <v>28</v>
      </c>
      <c r="I19" s="652"/>
      <c r="J19" s="652"/>
      <c r="K19" s="652"/>
      <c r="L19" s="652"/>
      <c r="M19" s="652"/>
      <c r="N19" s="652"/>
      <c r="O19" s="652"/>
      <c r="P19" s="652"/>
      <c r="Q19" s="652"/>
      <c r="R19" s="653"/>
      <c r="S19" s="1021"/>
      <c r="T19" s="719"/>
      <c r="U19" s="2375"/>
      <c r="V19" s="2375"/>
      <c r="W19" s="418"/>
      <c r="X19" s="418"/>
      <c r="Y19" s="418"/>
      <c r="Z19" s="418"/>
      <c r="AA19" s="512"/>
      <c r="AB19" s="418"/>
      <c r="AC19" s="2376"/>
      <c r="AD19" s="630"/>
      <c r="AE19" s="418"/>
      <c r="AF19" s="418"/>
      <c r="AG19" s="512"/>
      <c r="AH19" s="512"/>
      <c r="AI19" s="512"/>
      <c r="AJ19" s="512"/>
      <c r="AK19" s="512"/>
      <c r="AL19" s="512"/>
      <c r="AM19" s="512"/>
      <c r="AN19" s="512"/>
      <c r="AO19" s="512"/>
      <c r="AP19" s="512"/>
      <c r="AQ19" s="512"/>
      <c r="AR19" s="512"/>
      <c r="AS19" s="512"/>
      <c r="AT19" s="512"/>
      <c r="AU19" s="512"/>
      <c r="AV19" s="512"/>
      <c r="AW19" s="512"/>
      <c r="AX19" s="512"/>
      <c r="AY19" s="512"/>
      <c r="AZ19" s="512"/>
      <c r="BA19" s="512"/>
      <c r="BB19" s="512"/>
      <c r="BC19" s="512"/>
      <c r="BD19" s="512"/>
      <c r="BE19" s="512"/>
      <c r="BF19" s="512"/>
      <c r="BG19" s="512"/>
      <c r="BH19" s="512"/>
      <c r="BI19" s="512"/>
      <c r="BJ19" s="512"/>
      <c r="BK19" s="512"/>
      <c r="BL19" s="512"/>
      <c r="BM19" s="512"/>
      <c r="BN19" s="512"/>
      <c r="BO19" s="512"/>
      <c r="BP19" s="512"/>
      <c r="BQ19" s="512"/>
      <c r="BR19" s="512"/>
      <c r="BS19" s="512"/>
      <c r="BT19" s="512"/>
      <c r="BU19" s="512"/>
      <c r="BV19" s="418"/>
      <c r="BW19" s="418"/>
      <c r="BX19" s="418"/>
      <c r="BY19" s="418"/>
      <c r="BZ19" s="418"/>
      <c r="CA19" s="418"/>
      <c r="CB19" s="418"/>
      <c r="CC19" s="418"/>
      <c r="CD19" s="418"/>
      <c r="CE19" s="418"/>
      <c r="CF19" s="294">
        <v>0</v>
      </c>
    </row>
    <row s="1851" customFormat="1" customHeight="1" ht="22.5" hidden="1">
      <c r="A20" s="634"/>
      <c r="B20" s="418"/>
      <c r="C20" s="413"/>
      <c r="D20" s="2382"/>
      <c r="E20" s="2377" t="s">
        <v>632</v>
      </c>
      <c r="F20" s="2377"/>
      <c r="G20" s="2377"/>
      <c r="H20" s="2377"/>
      <c r="I20" s="2377"/>
      <c r="J20" s="2377"/>
      <c r="K20" s="2377"/>
      <c r="L20" s="2377"/>
      <c r="M20" s="2377"/>
      <c r="N20" s="2377"/>
      <c r="O20" s="2377"/>
      <c r="P20" s="2377"/>
      <c r="Q20" s="559">
        <f>SUMIF(T21:T22,"i",Q21:Q22)</f>
        <v>0</v>
      </c>
      <c r="R20" s="1018"/>
      <c r="S20" s="710" t="s">
        <v>633</v>
      </c>
      <c r="T20" s="718" t="s">
        <v>631</v>
      </c>
      <c r="U20" s="2375">
        <v>2</v>
      </c>
      <c r="V20" s="2375" t="str">
        <f>INDEX(B_FHD_FLAG_INDEX_2,1,MATCH(A14,B_FHD_FLAG_DIFFERENTIATION,0))</f>
        <v>отсутствует</v>
      </c>
      <c r="W20" s="418"/>
      <c r="X20" s="418"/>
      <c r="Y20" s="418"/>
      <c r="Z20" s="418"/>
      <c r="AA20" s="512"/>
      <c r="AB20" s="418"/>
      <c r="AC20" s="707"/>
      <c r="AD20" s="630"/>
      <c r="AE20" s="418"/>
      <c r="AF20" s="418"/>
      <c r="AG20" s="512"/>
      <c r="AH20" s="512"/>
      <c r="AI20" s="512"/>
      <c r="AJ20" s="512"/>
      <c r="AK20" s="512"/>
      <c r="AL20" s="512"/>
      <c r="AM20" s="512"/>
      <c r="AN20" s="512"/>
      <c r="AO20" s="512"/>
      <c r="AP20" s="512"/>
      <c r="AQ20" s="512"/>
      <c r="AR20" s="512"/>
      <c r="AS20" s="512"/>
      <c r="AT20" s="512"/>
      <c r="AU20" s="512"/>
      <c r="AV20" s="512"/>
      <c r="AW20" s="512"/>
      <c r="AX20" s="512"/>
      <c r="AY20" s="512"/>
      <c r="AZ20" s="512"/>
      <c r="BA20" s="512"/>
      <c r="BB20" s="512"/>
      <c r="BC20" s="512"/>
      <c r="BD20" s="512"/>
      <c r="BE20" s="512"/>
      <c r="BF20" s="512"/>
      <c r="BG20" s="512"/>
      <c r="BH20" s="512"/>
      <c r="BI20" s="512"/>
      <c r="BJ20" s="512"/>
      <c r="BK20" s="512"/>
      <c r="BL20" s="512"/>
      <c r="BM20" s="512"/>
      <c r="BN20" s="512"/>
      <c r="BO20" s="512"/>
      <c r="BP20" s="512"/>
      <c r="BQ20" s="512"/>
      <c r="BR20" s="512"/>
      <c r="BS20" s="512"/>
      <c r="BT20" s="512"/>
      <c r="BU20" s="512"/>
      <c r="BV20" s="418"/>
      <c r="BW20" s="418"/>
      <c r="BX20" s="418"/>
      <c r="BY20" s="418"/>
      <c r="BZ20" s="418"/>
      <c r="CA20" s="418"/>
      <c r="CB20" s="418"/>
      <c r="CC20" s="418"/>
      <c r="CD20" s="418"/>
      <c r="CE20" s="418"/>
      <c r="CF20" s="294">
        <v>0</v>
      </c>
    </row>
    <row s="1851" customFormat="1" customHeight="1" ht="11.25" hidden="1">
      <c r="A21" s="709"/>
      <c r="B21" s="512"/>
      <c r="C21" s="512"/>
      <c r="D21" s="2382"/>
      <c r="E21" s="636"/>
      <c r="F21" s="636">
        <v>0</v>
      </c>
      <c r="G21" s="636"/>
      <c r="H21" s="636"/>
      <c r="I21" s="636"/>
      <c r="J21" s="636"/>
      <c r="K21" s="636"/>
      <c r="L21" s="636"/>
      <c r="M21" s="636"/>
      <c r="N21" s="636"/>
      <c r="O21" s="636"/>
      <c r="P21" s="636"/>
      <c r="Q21" s="636"/>
      <c r="R21" s="636"/>
      <c r="S21" s="637"/>
      <c r="T21" s="719"/>
      <c r="U21" s="2375"/>
      <c r="V21" s="2375"/>
      <c r="W21" s="512"/>
      <c r="X21" s="512"/>
      <c r="Y21" s="512"/>
      <c r="Z21" s="512"/>
      <c r="AA21" s="512"/>
      <c r="AB21" s="418"/>
      <c r="AC21" s="707"/>
      <c r="AD21" s="630"/>
      <c r="AE21" s="418"/>
      <c r="AF21" s="418"/>
      <c r="AG21" s="512"/>
      <c r="AH21" s="512"/>
      <c r="AI21" s="512"/>
      <c r="AJ21" s="512"/>
      <c r="AK21" s="512"/>
      <c r="AL21" s="512"/>
      <c r="AM21" s="512"/>
      <c r="AN21" s="512"/>
      <c r="AO21" s="512"/>
      <c r="AP21" s="512"/>
      <c r="AQ21" s="512"/>
      <c r="AR21" s="512"/>
      <c r="AS21" s="512"/>
      <c r="AT21" s="512"/>
      <c r="AU21" s="512"/>
      <c r="AV21" s="512"/>
      <c r="AW21" s="512"/>
      <c r="AX21" s="512"/>
      <c r="AY21" s="512"/>
      <c r="AZ21" s="512"/>
      <c r="BA21" s="512"/>
      <c r="BB21" s="512"/>
      <c r="BC21" s="512"/>
      <c r="BD21" s="512"/>
      <c r="BE21" s="512"/>
      <c r="BF21" s="512"/>
      <c r="BG21" s="512"/>
      <c r="BH21" s="512"/>
      <c r="BI21" s="512"/>
      <c r="BJ21" s="512"/>
      <c r="BK21" s="512"/>
      <c r="BL21" s="512"/>
      <c r="BM21" s="512"/>
      <c r="BN21" s="512"/>
      <c r="BO21" s="512"/>
      <c r="BP21" s="512"/>
      <c r="BQ21" s="512"/>
      <c r="BR21" s="512"/>
      <c r="BS21" s="512"/>
      <c r="BT21" s="512"/>
      <c r="BU21" s="512"/>
      <c r="BV21" s="512"/>
      <c r="BW21" s="512"/>
      <c r="BX21" s="512"/>
      <c r="BY21" s="512"/>
      <c r="BZ21" s="512"/>
      <c r="CA21" s="512"/>
      <c r="CB21" s="512"/>
      <c r="CC21" s="512"/>
      <c r="CD21" s="512"/>
      <c r="CE21" s="512"/>
      <c r="CF21" s="294">
        <v>0</v>
      </c>
    </row>
    <row s="1851" customFormat="1" customHeight="1" ht="11.25" hidden="1">
      <c r="A22" s="634"/>
      <c r="B22" s="418"/>
      <c r="C22" s="413"/>
      <c r="D22" s="2383"/>
      <c r="E22" s="650" t="s">
        <v>28</v>
      </c>
      <c r="F22" s="651" t="s">
        <v>28</v>
      </c>
      <c r="G22" s="651" t="s">
        <v>28</v>
      </c>
      <c r="H22" s="652" t="s">
        <v>28</v>
      </c>
      <c r="I22" s="652"/>
      <c r="J22" s="652"/>
      <c r="K22" s="652"/>
      <c r="L22" s="652"/>
      <c r="M22" s="652"/>
      <c r="N22" s="652"/>
      <c r="O22" s="652"/>
      <c r="P22" s="652"/>
      <c r="Q22" s="652"/>
      <c r="R22" s="653"/>
      <c r="S22" s="1021"/>
      <c r="T22" s="719"/>
      <c r="U22" s="2375"/>
      <c r="V22" s="2375"/>
      <c r="W22" s="418"/>
      <c r="X22" s="418"/>
      <c r="Y22" s="418"/>
      <c r="Z22" s="418"/>
      <c r="AA22" s="512"/>
      <c r="AB22" s="418"/>
      <c r="AC22" s="707"/>
      <c r="AD22" s="630"/>
      <c r="AE22" s="418"/>
      <c r="AF22" s="418"/>
      <c r="AG22" s="512"/>
      <c r="AH22" s="512"/>
      <c r="AI22" s="512"/>
      <c r="AJ22" s="512"/>
      <c r="AK22" s="512"/>
      <c r="AL22" s="512"/>
      <c r="AM22" s="512"/>
      <c r="AN22" s="512"/>
      <c r="AO22" s="512"/>
      <c r="AP22" s="512"/>
      <c r="AQ22" s="512"/>
      <c r="AR22" s="512"/>
      <c r="AS22" s="512"/>
      <c r="AT22" s="512"/>
      <c r="AU22" s="512"/>
      <c r="AV22" s="512"/>
      <c r="AW22" s="512"/>
      <c r="AX22" s="512"/>
      <c r="AY22" s="512"/>
      <c r="AZ22" s="512"/>
      <c r="BA22" s="512"/>
      <c r="BB22" s="512"/>
      <c r="BC22" s="512"/>
      <c r="BD22" s="512"/>
      <c r="BE22" s="512"/>
      <c r="BF22" s="512"/>
      <c r="BG22" s="512"/>
      <c r="BH22" s="512"/>
      <c r="BI22" s="512"/>
      <c r="BJ22" s="512"/>
      <c r="BK22" s="512"/>
      <c r="BL22" s="512"/>
      <c r="BM22" s="512"/>
      <c r="BN22" s="512"/>
      <c r="BO22" s="512"/>
      <c r="BP22" s="512"/>
      <c r="BQ22" s="512"/>
      <c r="BR22" s="512"/>
      <c r="BS22" s="512"/>
      <c r="BT22" s="512"/>
      <c r="BU22" s="512"/>
      <c r="BV22" s="418"/>
      <c r="BW22" s="418"/>
      <c r="BX22" s="418"/>
      <c r="BY22" s="418"/>
      <c r="BZ22" s="418"/>
      <c r="CA22" s="418"/>
      <c r="CB22" s="418"/>
      <c r="CC22" s="418"/>
      <c r="CD22" s="418"/>
      <c r="CE22" s="418"/>
      <c r="CF22" s="294">
        <v>0</v>
      </c>
    </row>
    <row customHeight="1" ht="19.95">
      <c r="D23" s="1048"/>
      <c r="E23" s="1048"/>
      <c r="F23" s="1048"/>
      <c r="G23" s="1048"/>
      <c r="H23" s="1048"/>
      <c r="I23" s="1048"/>
      <c r="J23" s="1048"/>
      <c r="K23" s="1048"/>
      <c r="L23" s="1048"/>
      <c r="M23" s="1048"/>
      <c r="N23" s="1048"/>
      <c r="O23" s="1048"/>
      <c r="P23" s="1048"/>
      <c r="Q23" s="1048"/>
      <c r="R23" s="1048"/>
      <c r="S23" s="1048"/>
      <c r="T23" s="335"/>
      <c r="CF23" s="506">
        <v>19</v>
      </c>
    </row>
    <row customHeight="1" ht="11.549999999999999">
      <c r="D24" s="510"/>
      <c r="CF24" s="506">
        <v>11</v>
      </c>
    </row>
    <row customHeight="1" ht="11.549999999999999">
      <c r="D25" s="655"/>
      <c r="E25" s="655"/>
      <c r="F25" s="655"/>
      <c r="G25" s="656"/>
      <c r="CF25" s="506">
        <v>11</v>
      </c>
    </row>
    <row customHeight="1" ht="11.549999999999999">
      <c r="CF26" s="506">
        <v>11</v>
      </c>
    </row>
    <row customHeight="1" ht="11.549999999999999">
      <c r="D27" s="657"/>
      <c r="E27" s="2385"/>
      <c r="F27" s="2385"/>
      <c r="G27" s="2385"/>
      <c r="H27" s="2385"/>
      <c r="I27" s="2385"/>
      <c r="J27" s="2385"/>
      <c r="K27" s="2385"/>
      <c r="L27" s="2385"/>
      <c r="M27" s="2385"/>
      <c r="N27" s="2385"/>
      <c r="O27" s="2385"/>
      <c r="P27" s="2385"/>
      <c r="Q27" s="2385"/>
      <c r="R27" s="2385"/>
      <c r="CF27" s="506">
        <v>11</v>
      </c>
    </row>
    <row customHeight="1" ht="11.549999999999999">
      <c r="F28" s="759"/>
      <c r="G28" s="759"/>
      <c r="CF28" s="506">
        <v>11</v>
      </c>
    </row>
    <row customHeight="1" ht="11.25" hidden="1">
      <c r="A29" s="611" t="s">
        <v>83</v>
      </c>
      <c r="B29" s="450">
        <v>0</v>
      </c>
      <c r="C29" s="506">
        <v>3</v>
      </c>
      <c r="D29" s="506">
        <v>0</v>
      </c>
      <c r="E29" s="506">
        <v>7</v>
      </c>
      <c r="F29" s="506">
        <v>7</v>
      </c>
      <c r="G29" s="506">
        <v>29</v>
      </c>
      <c r="H29" s="506">
        <v>3</v>
      </c>
      <c r="I29" s="506">
        <v>5</v>
      </c>
      <c r="J29" s="506">
        <v>24</v>
      </c>
      <c r="K29" s="506">
        <v>24</v>
      </c>
      <c r="L29" s="506">
        <v>3</v>
      </c>
      <c r="M29" s="506">
        <v>6</v>
      </c>
      <c r="N29" s="506">
        <v>25</v>
      </c>
      <c r="O29" s="506">
        <v>18</v>
      </c>
      <c r="P29" s="506">
        <v>18</v>
      </c>
      <c r="Q29" s="506">
        <v>18</v>
      </c>
      <c r="R29" s="506">
        <v>18</v>
      </c>
      <c r="S29" s="506">
        <v>93</v>
      </c>
      <c r="T29" s="506">
        <v>10</v>
      </c>
      <c r="U29" s="612">
        <v>10</v>
      </c>
      <c r="V29" s="612">
        <v>11</v>
      </c>
      <c r="W29" s="613">
        <v>10</v>
      </c>
      <c r="X29" s="450">
        <v>10</v>
      </c>
      <c r="Y29" s="450">
        <v>10</v>
      </c>
      <c r="Z29" s="450">
        <v>10</v>
      </c>
      <c r="AA29" s="450">
        <v>10</v>
      </c>
      <c r="AB29" s="506">
        <v>8</v>
      </c>
      <c r="AC29" s="506">
        <v>8</v>
      </c>
      <c r="AD29" s="506">
        <v>8</v>
      </c>
      <c r="AE29" s="506">
        <v>8</v>
      </c>
      <c r="AF29" s="506">
        <v>8</v>
      </c>
      <c r="AG29" s="506">
        <v>8</v>
      </c>
      <c r="AH29" s="506">
        <v>8</v>
      </c>
      <c r="AI29" s="506">
        <v>8</v>
      </c>
      <c r="AJ29" s="506">
        <v>8</v>
      </c>
      <c r="AK29" s="506">
        <v>8</v>
      </c>
      <c r="AL29" s="506">
        <v>8</v>
      </c>
      <c r="AM29" s="506">
        <v>8</v>
      </c>
      <c r="AN29" s="506">
        <v>8</v>
      </c>
      <c r="AO29" s="506">
        <v>8</v>
      </c>
      <c r="AP29" s="506">
        <v>8</v>
      </c>
      <c r="AQ29" s="506">
        <v>8</v>
      </c>
      <c r="AR29" s="506">
        <v>8</v>
      </c>
      <c r="AS29" s="506">
        <v>8</v>
      </c>
      <c r="AT29" s="506">
        <v>8</v>
      </c>
      <c r="AU29" s="506">
        <v>8</v>
      </c>
      <c r="AV29" s="506">
        <v>8</v>
      </c>
      <c r="AW29" s="506">
        <v>8</v>
      </c>
      <c r="AX29" s="506">
        <v>8</v>
      </c>
      <c r="AY29" s="506">
        <v>8</v>
      </c>
      <c r="AZ29" s="506">
        <v>8</v>
      </c>
      <c r="BA29" s="506">
        <v>8</v>
      </c>
      <c r="BB29" s="506">
        <v>8</v>
      </c>
      <c r="BC29" s="506">
        <v>8</v>
      </c>
      <c r="BD29" s="506">
        <v>8</v>
      </c>
      <c r="BE29" s="506">
        <v>8</v>
      </c>
      <c r="BF29" s="506">
        <v>8</v>
      </c>
      <c r="BG29" s="506">
        <v>8</v>
      </c>
      <c r="BH29" s="506">
        <v>8</v>
      </c>
      <c r="BI29" s="506">
        <v>8</v>
      </c>
      <c r="BJ29" s="506">
        <v>8</v>
      </c>
      <c r="BK29" s="506">
        <v>8</v>
      </c>
      <c r="BL29" s="506">
        <v>8</v>
      </c>
      <c r="BM29" s="506">
        <v>8</v>
      </c>
      <c r="BN29" s="506">
        <v>8</v>
      </c>
      <c r="BO29" s="506">
        <v>8</v>
      </c>
      <c r="BP29" s="506">
        <v>8</v>
      </c>
      <c r="BQ29" s="506">
        <v>8</v>
      </c>
      <c r="BR29" s="506">
        <v>8</v>
      </c>
      <c r="BS29" s="506">
        <v>8</v>
      </c>
      <c r="BT29" s="506">
        <v>8</v>
      </c>
      <c r="BU29" s="506">
        <v>8</v>
      </c>
      <c r="BV29" s="506">
        <v>8</v>
      </c>
      <c r="BW29" s="506">
        <v>8</v>
      </c>
      <c r="BX29" s="506">
        <v>8</v>
      </c>
      <c r="BY29" s="506">
        <v>8</v>
      </c>
      <c r="BZ29" s="506">
        <v>8</v>
      </c>
      <c r="CA29" s="506">
        <v>8</v>
      </c>
      <c r="CB29" s="506">
        <v>8</v>
      </c>
      <c r="CC29" s="506">
        <v>8</v>
      </c>
      <c r="CD29" s="506">
        <v>8</v>
      </c>
      <c r="CE29" s="506">
        <v>8</v>
      </c>
      <c r="CF29" s="506">
        <v>11</v>
      </c>
    </row>
  </sheetData>
  <sheetProtection formatColumns="0" formatRows="0" autoFilter="0" sort="0" insertRows="0" insertColumns="1" deleteRows="0" deleteColumns="0"/>
  <mergeCells count="22">
    <mergeCell ref="E5:K5"/>
    <mergeCell ref="E6:K6"/>
    <mergeCell ref="E9:R9"/>
    <mergeCell ref="S9:S10"/>
    <mergeCell ref="E10:F10"/>
    <mergeCell ref="H10:I10"/>
    <mergeCell ref="L10:M10"/>
    <mergeCell ref="D14:D22"/>
    <mergeCell ref="H14:R14"/>
    <mergeCell ref="H15:R15"/>
    <mergeCell ref="H16:R16"/>
    <mergeCell ref="E27:R27"/>
    <mergeCell ref="E20:P20"/>
    <mergeCell ref="U20:U22"/>
    <mergeCell ref="V20:V22"/>
    <mergeCell ref="AC14:AC19"/>
    <mergeCell ref="E17:P17"/>
    <mergeCell ref="U17:U19"/>
    <mergeCell ref="V17:V19"/>
    <mergeCell ref="E14:G14"/>
    <mergeCell ref="E15:G15"/>
    <mergeCell ref="E16:G16"/>
  </mergeCell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E70E4F4F-C191-CD78-7248-F950D60EBAD8}" mc:Ignorable="x14ac xr xr2 xr3">
  <sheetPr>
    <tabColor theme="9" tint="-0.25"/>
  </sheetPr>
  <dimension ref="A1:AK204"/>
  <sheetViews>
    <sheetView showGridLines="0" zoomScale="90" workbookViewId="0">
      <pane xSplit="12" ySplit="14" topLeftCell="M15" activePane="bottomRight" state="frozen"/>
      <selection pane="bottomLeft" activeCell="A15" sqref="A15"/>
      <selection pane="topRight" activeCell="M1" sqref="M1"/>
      <selection pane="bottomRight" activeCell="A1" sqref="A1"/>
    </sheetView>
  </sheetViews>
  <sheetFormatPr defaultColWidth="9.140625" customHeight="1" defaultRowHeight="11.25"/>
  <cols>
    <col min="1" max="5" style="988" width="10.7109375" hidden="1" customWidth="1"/>
    <col min="6" max="6" style="1367" width="16.8515625" hidden="1" customWidth="1"/>
    <col min="7" max="7" style="1643" width="5.57421875" hidden="1" customWidth="1"/>
    <col min="8" max="8" style="1636" width="3.00390625" customWidth="1"/>
    <col min="9" max="9" style="1636" width="7.00390625" customWidth="1"/>
    <col min="10" max="10" style="1636" width="56.00390625" customWidth="1"/>
    <col min="11" max="11" style="1636" width="10.00390625" customWidth="1"/>
    <col min="12" max="12" style="1636" width="40.57421875" hidden="1" customWidth="1"/>
    <col min="13" max="13" style="1636" width="40.7109375" customWidth="1"/>
    <col min="14" max="14" style="1367" width="9.7109375" hidden="1" customWidth="1"/>
    <col min="15" max="15" style="1636" width="102.00390625" customWidth="1"/>
    <col min="16" max="16" style="1367" width="9.00390625" customWidth="1"/>
    <col min="17" max="17" style="1643" width="5.00390625" customWidth="1"/>
    <col min="18" max="18" style="1643" width="3.00390625" customWidth="1"/>
    <col min="19" max="22" style="1367" width="3.00390625" customWidth="1"/>
    <col min="23" max="23" style="1643" width="10.00390625" customWidth="1"/>
    <col min="24" max="24" style="1367" width="34.00390625" customWidth="1"/>
    <col min="25" max="25" style="1367" width="9.00390625" customWidth="1"/>
    <col min="26" max="26" style="737" width="8.00390625" customWidth="1"/>
    <col min="27" max="31" style="1367" width="8.00390625" customWidth="1"/>
    <col min="32" max="36" style="1633" width="8.00390625" customWidth="1"/>
    <col min="37" max="37" style="1636" width="5.421875" hidden="1" customWidth="1"/>
  </cols>
  <sheetData>
    <row s="1367" customFormat="1" customHeight="1" ht="33.75" hidden="1">
      <c r="A1" s="988"/>
      <c r="B1" s="988"/>
      <c r="C1" s="988"/>
      <c r="D1" s="988"/>
      <c r="E1" s="988"/>
      <c r="G1" s="1637"/>
      <c r="H1" s="879"/>
      <c r="L1" s="1367">
        <v>4</v>
      </c>
      <c r="M1" s="1367">
        <v>4</v>
      </c>
      <c r="Q1" s="1637"/>
      <c r="R1" s="1637"/>
      <c r="W1" s="1637"/>
      <c r="AK1" s="1367" t="s">
        <v>14</v>
      </c>
    </row>
    <row s="1367" customFormat="1" customHeight="1" ht="78.75" hidden="1">
      <c r="A2" s="988"/>
      <c r="B2" s="2054" t="s">
        <v>634</v>
      </c>
      <c r="C2" s="2054" t="s">
        <v>635</v>
      </c>
      <c r="D2" s="2053" t="s">
        <v>636</v>
      </c>
      <c r="E2" s="2057">
        <f>RIGHT(I2,LEN(I2)-SEARCH("#",SUBSTITUTE(I2,".","#",LEN(I2)-LEN(SUBSTITUTE(I2,".","")))))</f>
      </c>
      <c r="F2" s="2059">
        <f>J2</f>
        <v>0</v>
      </c>
      <c r="G2" s="1637"/>
      <c r="H2" s="2060"/>
      <c r="I2" s="2050"/>
      <c r="J2" s="541"/>
      <c r="K2" s="2020" t="s">
        <v>575</v>
      </c>
      <c r="L2" s="752"/>
      <c r="M2" s="752"/>
      <c r="N2" s="544"/>
      <c r="O2" s="1526" t="s">
        <v>576</v>
      </c>
      <c r="P2" s="544"/>
      <c r="Q2" s="1637"/>
      <c r="R2" s="1637"/>
      <c r="W2" s="1637"/>
      <c r="Z2" s="545"/>
      <c r="AF2" s="1633"/>
      <c r="AG2" s="1633"/>
      <c r="AH2" s="1633"/>
      <c r="AI2" s="1633"/>
      <c r="AJ2" s="1633"/>
      <c r="AK2" s="1367">
        <v>0</v>
      </c>
    </row>
    <row customHeight="1" ht="11.25" hidden="1">
      <c r="E3" s="2052" t="s">
        <v>637</v>
      </c>
      <c r="L3" s="1632">
        <f>0</f>
        <v>0</v>
      </c>
      <c r="M3" s="1632">
        <v>1</v>
      </c>
      <c r="AK3" s="1632">
        <v>0</v>
      </c>
    </row>
    <row s="1633" customFormat="1" customHeight="1" ht="11.25" hidden="1">
      <c r="A4" s="988"/>
      <c r="B4" s="988"/>
      <c r="C4" s="988"/>
      <c r="E4" s="988"/>
      <c r="F4" s="1367"/>
      <c r="G4" s="1637"/>
      <c r="H4" s="621"/>
      <c r="N4" s="1367"/>
      <c r="O4" s="1633">
        <v>4</v>
      </c>
      <c r="P4" s="1367"/>
      <c r="Q4" s="1637"/>
      <c r="R4" s="1637"/>
      <c r="S4" s="1367"/>
      <c r="T4" s="1367"/>
      <c r="U4" s="1367"/>
      <c r="V4" s="1367"/>
      <c r="W4" s="1637"/>
      <c r="X4" s="1367"/>
      <c r="Y4" s="1367"/>
      <c r="Z4" s="545"/>
      <c r="AA4" s="1367"/>
      <c r="AB4" s="1367"/>
      <c r="AC4" s="1367"/>
      <c r="AD4" s="1367"/>
      <c r="AE4" s="1367"/>
      <c r="AK4" s="1633">
        <v>0</v>
      </c>
    </row>
    <row customHeight="1" ht="11.549999999999999">
      <c r="AK5" s="1632">
        <v>11</v>
      </c>
    </row>
    <row customHeight="1" ht="57.75">
      <c r="I6" s="2308" t="s">
        <v>638</v>
      </c>
      <c r="J6" s="2308"/>
      <c r="K6" s="2308"/>
      <c r="L6" s="2308"/>
      <c r="M6" s="2308"/>
      <c r="O6" s="557"/>
      <c r="AK6" s="1632">
        <v>55</v>
      </c>
    </row>
    <row customHeight="1" ht="25.2">
      <c r="I7" s="2250" t="str">
        <f>IF(org=0,"Не определено",org)</f>
        <v>ПАО "КГК"</v>
      </c>
      <c r="J7" s="2250"/>
      <c r="K7" s="2250"/>
      <c r="L7" s="2250"/>
      <c r="M7" s="2250"/>
      <c r="AK7" s="1632">
        <v>24</v>
      </c>
    </row>
    <row customHeight="1" ht="11.549999999999999">
      <c r="I8" s="1136"/>
      <c r="J8" s="1136"/>
      <c r="K8" s="1136"/>
      <c r="L8" s="1136"/>
      <c r="M8" s="1136"/>
      <c r="AK8" s="1632">
        <v>11</v>
      </c>
    </row>
    <row s="1643" customFormat="1" customHeight="1" ht="30" hidden="1">
      <c r="A9" s="1168"/>
      <c r="B9" s="1168"/>
      <c r="C9" s="1168"/>
      <c r="E9" s="1168"/>
      <c r="H9" s="1643"/>
      <c r="L9" s="890"/>
      <c r="M9" s="890" t="s">
        <v>125</v>
      </c>
      <c r="AK9" s="1637">
        <v>1</v>
      </c>
    </row>
    <row customHeight="1" ht="11.549999999999999">
      <c r="E10" s="2051" t="s">
        <v>639</v>
      </c>
      <c r="I10" s="712"/>
      <c r="J10" s="2368" t="s">
        <v>114</v>
      </c>
      <c r="K10" s="2369"/>
      <c r="L10" s="2030" t="str">
        <f>IF(L9="","",INDEX(DIFFERENTIATION_UNMERGE_VD,MATCH(L9,DIFFERENTIATION_ID_DIFF,0)))</f>
        <v/>
      </c>
      <c r="M10" s="2030">
        <f>IF(M9="","",INDEX(DIFFERENTIATION_UNMERGE_VD,MATCH(M9,DIFFERENTIATION_ID_DIFF,0)))</f>
        <v>0</v>
      </c>
      <c r="O10" s="2128" t="s">
        <v>318</v>
      </c>
      <c r="AK10" s="1632">
        <v>11</v>
      </c>
    </row>
    <row customHeight="1" ht="11.549999999999999">
      <c r="E11" s="2051" t="s">
        <v>640</v>
      </c>
      <c r="I11" s="712"/>
      <c r="J11" s="2368" t="s">
        <v>583</v>
      </c>
      <c r="K11" s="2369"/>
      <c r="L11" s="2030" t="str">
        <f>IF(L9="","",INDEX(DIFFERENTIATION_UNMERGE_AREA,MATCH(L9,DIFFERENTIATION_ID_DIFF,0)))</f>
        <v/>
      </c>
      <c r="M11" s="2030" t="str">
        <f>IF(M9="","",INDEX(DIFFERENTIATION_UNMERGE_AREA,MATCH(M9,DIFFERENTIATION_ID_DIFF,0)))</f>
        <v/>
      </c>
      <c r="O11" s="2128"/>
      <c r="AK11" s="1632">
        <v>11</v>
      </c>
    </row>
    <row customHeight="1" ht="11.549999999999999">
      <c r="E12" s="2051" t="s">
        <v>641</v>
      </c>
      <c r="I12" s="1663"/>
      <c r="J12" s="2368" t="s">
        <v>584</v>
      </c>
      <c r="K12" s="2369"/>
      <c r="L12" s="2030" t="str">
        <f>IF(L9="","",INDEX(DIFFERENTIATION_UNMERGE_SYSTEM,MATCH(L9,DIFFERENTIATION_ID_DIFF,0)))</f>
        <v/>
      </c>
      <c r="M12" s="2030" t="str">
        <f>IF(M9="","",INDEX(DIFFERENTIATION_UNMERGE_SYSTEM,MATCH(M9,DIFFERENTIATION_ID_DIFF,0)))</f>
        <v>без дифференциации</v>
      </c>
      <c r="O12" s="2128"/>
      <c r="AK12" s="1632">
        <v>11</v>
      </c>
    </row>
    <row customHeight="1" ht="11.549999999999999">
      <c r="E13" s="2051" t="s">
        <v>642</v>
      </c>
      <c r="F13" s="2051" t="s">
        <v>643</v>
      </c>
      <c r="I13" s="2370" t="s">
        <v>317</v>
      </c>
      <c r="J13" s="2371"/>
      <c r="K13" s="2371"/>
      <c r="L13" s="2028"/>
      <c r="M13" s="2068"/>
      <c r="O13" s="2128"/>
      <c r="AK13" s="1632">
        <v>11</v>
      </c>
    </row>
    <row customHeight="1" ht="24">
      <c r="I14" s="2021" t="s">
        <v>89</v>
      </c>
      <c r="J14" s="2021" t="s">
        <v>319</v>
      </c>
      <c r="K14" s="2021" t="s">
        <v>585</v>
      </c>
      <c r="L14" s="2061" t="s">
        <v>320</v>
      </c>
      <c r="M14" s="2062" t="s">
        <v>320</v>
      </c>
      <c r="O14" s="2128"/>
      <c r="AK14" s="1632">
        <v>23</v>
      </c>
    </row>
    <row customHeight="1" ht="24">
      <c r="A15" s="2055"/>
      <c r="B15" s="2054" t="s">
        <v>644</v>
      </c>
      <c r="C15" s="2054" t="s">
        <v>645</v>
      </c>
      <c r="D15" s="2053" t="s">
        <v>646</v>
      </c>
      <c r="E15" s="2057" t="s">
        <v>647</v>
      </c>
      <c r="F15" s="2057" t="s">
        <v>647</v>
      </c>
      <c r="G15" s="1637" t="s">
        <v>607</v>
      </c>
      <c r="H15" s="2022"/>
      <c r="I15" s="1631">
        <v>1</v>
      </c>
      <c r="J15" s="2023" t="s">
        <v>648</v>
      </c>
      <c r="K15" s="2021" t="s">
        <v>323</v>
      </c>
      <c r="L15" s="663"/>
      <c r="M15" s="819"/>
      <c r="N15" s="544" t="s">
        <v>649</v>
      </c>
      <c r="O15" s="1526" t="s">
        <v>650</v>
      </c>
      <c r="P15" s="544" t="s">
        <v>649</v>
      </c>
      <c r="AK15" s="1632">
        <v>23</v>
      </c>
    </row>
    <row customHeight="1" ht="35.699999999999996">
      <c r="A16" s="2055"/>
      <c r="B16" s="2054" t="s">
        <v>651</v>
      </c>
      <c r="C16" s="2054" t="s">
        <v>652</v>
      </c>
      <c r="D16" s="2053" t="s">
        <v>636</v>
      </c>
      <c r="E16" s="2057" t="s">
        <v>647</v>
      </c>
      <c r="F16" s="2057" t="s">
        <v>647</v>
      </c>
      <c r="H16" s="2022"/>
      <c r="I16" s="1630">
        <v>2</v>
      </c>
      <c r="J16" s="2064" t="s">
        <v>653</v>
      </c>
      <c r="K16" s="2063" t="s">
        <v>575</v>
      </c>
      <c r="L16" s="2069"/>
      <c r="M16" s="1677"/>
      <c r="N16" s="544" t="s">
        <v>649</v>
      </c>
      <c r="O16" s="1526" t="s">
        <v>654</v>
      </c>
      <c r="P16" s="544" t="s">
        <v>649</v>
      </c>
      <c r="AK16" s="1632">
        <v>34</v>
      </c>
    </row>
    <row s="1643" customFormat="1" customHeight="1" ht="17.25" hidden="1">
      <c r="A17" s="1168"/>
      <c r="B17" s="1168"/>
      <c r="C17" s="1168"/>
      <c r="D17" s="1168"/>
      <c r="E17" s="1168"/>
      <c r="H17" s="1325"/>
      <c r="I17" s="1014" t="s">
        <v>655</v>
      </c>
      <c r="J17" s="992"/>
      <c r="K17" s="1014"/>
      <c r="L17" s="993"/>
      <c r="M17" s="993"/>
      <c r="O17" s="1386"/>
      <c r="AK17" s="1637">
        <v>1</v>
      </c>
    </row>
    <row s="1367" customFormat="1" customHeight="1" ht="24">
      <c r="A18" s="988"/>
      <c r="B18" s="988"/>
      <c r="C18" s="988"/>
      <c r="D18" s="988"/>
      <c r="E18" s="988"/>
      <c r="G18" s="1637"/>
      <c r="H18" s="1634"/>
      <c r="I18" s="571"/>
      <c r="J18" s="572" t="s">
        <v>605</v>
      </c>
      <c r="K18" s="573"/>
      <c r="L18" s="2071"/>
      <c r="M18" s="574"/>
      <c r="N18" s="544"/>
      <c r="O18" s="1526" t="s">
        <v>606</v>
      </c>
      <c r="P18" s="544"/>
      <c r="Q18" s="1637"/>
      <c r="R18" s="1637"/>
      <c r="W18" s="1637"/>
      <c r="Z18" s="545"/>
      <c r="AF18" s="1633"/>
      <c r="AG18" s="1633"/>
      <c r="AH18" s="1633"/>
      <c r="AI18" s="1633"/>
      <c r="AJ18" s="1633"/>
      <c r="AK18" s="1367">
        <v>23</v>
      </c>
    </row>
    <row customHeight="1" ht="19.95">
      <c r="A19" s="2055"/>
      <c r="B19" s="2054" t="s">
        <v>656</v>
      </c>
      <c r="C19" s="2054" t="s">
        <v>657</v>
      </c>
      <c r="D19" s="2053" t="s">
        <v>636</v>
      </c>
      <c r="E19" s="2057" t="s">
        <v>647</v>
      </c>
      <c r="F19" s="2057" t="s">
        <v>647</v>
      </c>
      <c r="H19" s="2022"/>
      <c r="I19" s="1665">
        <v>3</v>
      </c>
      <c r="J19" s="2023" t="s">
        <v>657</v>
      </c>
      <c r="K19" s="2019" t="s">
        <v>575</v>
      </c>
      <c r="L19" s="728"/>
      <c r="M19" s="558"/>
      <c r="N19" s="544"/>
      <c r="O19" s="1526" t="s">
        <v>658</v>
      </c>
      <c r="P19" s="544"/>
      <c r="AK19" s="1632">
        <v>19</v>
      </c>
    </row>
    <row customHeight="1" ht="77.7">
      <c r="A20" s="2055"/>
      <c r="B20" s="2054" t="s">
        <v>659</v>
      </c>
      <c r="C20" s="2054" t="s">
        <v>660</v>
      </c>
      <c r="D20" s="2053" t="s">
        <v>636</v>
      </c>
      <c r="E20" s="2057" t="s">
        <v>647</v>
      </c>
      <c r="F20" s="2057" t="s">
        <v>647</v>
      </c>
      <c r="H20" s="2022"/>
      <c r="I20" s="1665">
        <v>4</v>
      </c>
      <c r="J20" s="2023" t="s">
        <v>661</v>
      </c>
      <c r="K20" s="2019" t="s">
        <v>602</v>
      </c>
      <c r="L20" s="728"/>
      <c r="M20" s="558"/>
      <c r="N20" s="544"/>
      <c r="O20" s="1526"/>
      <c r="P20" s="544"/>
      <c r="AK20" s="1632">
        <v>74</v>
      </c>
    </row>
    <row customHeight="1" ht="35.699999999999996">
      <c r="A21" s="2055"/>
      <c r="B21" s="2054" t="s">
        <v>662</v>
      </c>
      <c r="C21" s="2054" t="s">
        <v>663</v>
      </c>
      <c r="D21" s="2053" t="s">
        <v>636</v>
      </c>
      <c r="E21" s="2057" t="s">
        <v>647</v>
      </c>
      <c r="F21" s="2057" t="s">
        <v>647</v>
      </c>
      <c r="H21" s="2022"/>
      <c r="I21" s="1665">
        <v>5</v>
      </c>
      <c r="J21" s="2023" t="s">
        <v>664</v>
      </c>
      <c r="K21" s="2019" t="s">
        <v>602</v>
      </c>
      <c r="L21" s="728"/>
      <c r="M21" s="558"/>
      <c r="N21" s="544"/>
      <c r="O21" s="1526" t="s">
        <v>658</v>
      </c>
      <c r="P21" s="544"/>
      <c r="AK21" s="1632">
        <v>34</v>
      </c>
    </row>
    <row customHeight="1" ht="48.29999999999999">
      <c r="A22" s="2055"/>
      <c r="B22" s="2054" t="s">
        <v>665</v>
      </c>
      <c r="C22" s="2054" t="s">
        <v>666</v>
      </c>
      <c r="D22" s="2053" t="s">
        <v>636</v>
      </c>
      <c r="E22" s="2057" t="s">
        <v>647</v>
      </c>
      <c r="F22" s="2057" t="s">
        <v>647</v>
      </c>
      <c r="H22" s="2022"/>
      <c r="I22" s="1665">
        <v>6</v>
      </c>
      <c r="J22" s="2023" t="s">
        <v>667</v>
      </c>
      <c r="K22" s="2019" t="s">
        <v>602</v>
      </c>
      <c r="L22" s="728"/>
      <c r="M22" s="558"/>
      <c r="N22" s="544"/>
      <c r="O22" s="1526" t="s">
        <v>668</v>
      </c>
      <c r="P22" s="544"/>
      <c r="AK22" s="1632">
        <v>46</v>
      </c>
    </row>
    <row customHeight="1" ht="19.95">
      <c r="A23" s="2055"/>
      <c r="B23" s="2054" t="s">
        <v>669</v>
      </c>
      <c r="C23" s="2054" t="s">
        <v>670</v>
      </c>
      <c r="D23" s="2053" t="s">
        <v>636</v>
      </c>
      <c r="E23" s="2057" t="s">
        <v>647</v>
      </c>
      <c r="F23" s="2057" t="s">
        <v>647</v>
      </c>
      <c r="H23" s="2022"/>
      <c r="I23" s="1665" t="s">
        <v>671</v>
      </c>
      <c r="J23" s="1525" t="s">
        <v>672</v>
      </c>
      <c r="K23" s="2019" t="s">
        <v>602</v>
      </c>
      <c r="L23" s="728"/>
      <c r="M23" s="558"/>
      <c r="N23" s="544"/>
      <c r="O23" s="1526" t="s">
        <v>658</v>
      </c>
      <c r="P23" s="544"/>
      <c r="AK23" s="1632">
        <v>19</v>
      </c>
    </row>
    <row customHeight="1" ht="19.95">
      <c r="A24" s="2055"/>
      <c r="B24" s="2054" t="s">
        <v>673</v>
      </c>
      <c r="C24" s="2054" t="s">
        <v>674</v>
      </c>
      <c r="D24" s="2053" t="s">
        <v>636</v>
      </c>
      <c r="E24" s="2057" t="s">
        <v>647</v>
      </c>
      <c r="F24" s="2057" t="s">
        <v>647</v>
      </c>
      <c r="H24" s="2022"/>
      <c r="I24" s="1665" t="s">
        <v>675</v>
      </c>
      <c r="J24" s="1525" t="s">
        <v>676</v>
      </c>
      <c r="K24" s="2019" t="s">
        <v>602</v>
      </c>
      <c r="L24" s="728"/>
      <c r="M24" s="558"/>
      <c r="N24" s="544"/>
      <c r="O24" s="1526"/>
      <c r="P24" s="544"/>
      <c r="AK24" s="1632">
        <v>19</v>
      </c>
    </row>
    <row customHeight="1" ht="24">
      <c r="A25" s="2055"/>
      <c r="B25" s="2054" t="s">
        <v>677</v>
      </c>
      <c r="C25" s="2054" t="s">
        <v>678</v>
      </c>
      <c r="D25" s="2053" t="s">
        <v>636</v>
      </c>
      <c r="E25" s="2057" t="s">
        <v>647</v>
      </c>
      <c r="F25" s="2057" t="s">
        <v>647</v>
      </c>
      <c r="H25" s="2022"/>
      <c r="I25" s="1665" t="s">
        <v>679</v>
      </c>
      <c r="J25" s="1525" t="s">
        <v>680</v>
      </c>
      <c r="K25" s="2019" t="s">
        <v>602</v>
      </c>
      <c r="L25" s="728"/>
      <c r="M25" s="558"/>
      <c r="N25" s="544"/>
      <c r="O25" s="1526"/>
      <c r="P25" s="544"/>
      <c r="AK25" s="1632">
        <v>23</v>
      </c>
    </row>
    <row customHeight="1" ht="24">
      <c r="A26" s="2055"/>
      <c r="B26" s="2054" t="s">
        <v>681</v>
      </c>
      <c r="C26" s="2054" t="s">
        <v>682</v>
      </c>
      <c r="D26" s="2053" t="s">
        <v>636</v>
      </c>
      <c r="E26" s="2057" t="s">
        <v>647</v>
      </c>
      <c r="F26" s="2057" t="s">
        <v>647</v>
      </c>
      <c r="H26" s="2022"/>
      <c r="I26" s="1665">
        <v>7</v>
      </c>
      <c r="J26" s="2023" t="s">
        <v>682</v>
      </c>
      <c r="K26" s="2019" t="s">
        <v>683</v>
      </c>
      <c r="L26" s="728"/>
      <c r="M26" s="558"/>
      <c r="N26" s="544"/>
      <c r="O26" s="1526"/>
      <c r="P26" s="544"/>
      <c r="AK26" s="1632">
        <v>23</v>
      </c>
    </row>
    <row customHeight="1" ht="24">
      <c r="A27" s="2055"/>
      <c r="B27" s="2054" t="s">
        <v>684</v>
      </c>
      <c r="C27" s="2054" t="s">
        <v>685</v>
      </c>
      <c r="D27" s="2053" t="s">
        <v>636</v>
      </c>
      <c r="E27" s="2057" t="s">
        <v>647</v>
      </c>
      <c r="F27" s="2057" t="s">
        <v>647</v>
      </c>
      <c r="H27" s="2022"/>
      <c r="I27" s="1665">
        <v>8</v>
      </c>
      <c r="J27" s="2023" t="s">
        <v>685</v>
      </c>
      <c r="K27" s="2019" t="s">
        <v>608</v>
      </c>
      <c r="L27" s="728"/>
      <c r="M27" s="558"/>
      <c r="N27" s="544"/>
      <c r="O27" s="1526"/>
      <c r="P27" s="544"/>
      <c r="AK27" s="1632">
        <v>23</v>
      </c>
    </row>
    <row customHeight="1" ht="35.699999999999996">
      <c r="A28" s="2055"/>
      <c r="B28" s="2054" t="s">
        <v>686</v>
      </c>
      <c r="C28" s="2054" t="s">
        <v>687</v>
      </c>
      <c r="D28" s="2053" t="s">
        <v>636</v>
      </c>
      <c r="E28" s="2057" t="s">
        <v>647</v>
      </c>
      <c r="F28" s="2057" t="s">
        <v>647</v>
      </c>
      <c r="H28" s="2022"/>
      <c r="I28" s="1676">
        <v>9</v>
      </c>
      <c r="J28" s="2023" t="s">
        <v>688</v>
      </c>
      <c r="K28" s="2019" t="s">
        <v>579</v>
      </c>
      <c r="L28" s="728"/>
      <c r="M28" s="558"/>
      <c r="N28" s="544"/>
      <c r="O28" s="1526"/>
      <c r="P28" s="544"/>
      <c r="AK28" s="1632">
        <v>34</v>
      </c>
    </row>
    <row customHeight="1" ht="35.699999999999996">
      <c r="A29" s="2055"/>
      <c r="B29" s="2054" t="s">
        <v>689</v>
      </c>
      <c r="C29" s="2054" t="s">
        <v>690</v>
      </c>
      <c r="D29" s="2053" t="s">
        <v>636</v>
      </c>
      <c r="E29" s="2057" t="s">
        <v>647</v>
      </c>
      <c r="F29" s="2057" t="s">
        <v>647</v>
      </c>
      <c r="H29" s="2022"/>
      <c r="I29" s="1676">
        <v>10</v>
      </c>
      <c r="J29" s="2023" t="s">
        <v>691</v>
      </c>
      <c r="K29" s="2019" t="s">
        <v>579</v>
      </c>
      <c r="L29" s="728"/>
      <c r="M29" s="558"/>
      <c r="N29" s="544"/>
      <c r="O29" s="1526"/>
      <c r="P29" s="544"/>
      <c r="AK29" s="1632">
        <v>34</v>
      </c>
    </row>
    <row customHeight="1" ht="24">
      <c r="A30" s="2055"/>
      <c r="B30" s="2054" t="s">
        <v>692</v>
      </c>
      <c r="C30" s="2054" t="s">
        <v>693</v>
      </c>
      <c r="D30" s="2053" t="s">
        <v>636</v>
      </c>
      <c r="E30" s="2057" t="s">
        <v>647</v>
      </c>
      <c r="F30" s="2057" t="s">
        <v>647</v>
      </c>
      <c r="H30" s="2022"/>
      <c r="I30" s="1676">
        <v>11</v>
      </c>
      <c r="J30" s="2023" t="s">
        <v>693</v>
      </c>
      <c r="K30" s="2019" t="s">
        <v>609</v>
      </c>
      <c r="L30" s="2070"/>
      <c r="M30" s="1622"/>
      <c r="N30" s="544"/>
      <c r="O30" s="1526"/>
      <c r="P30" s="544"/>
      <c r="AK30" s="1632">
        <v>23</v>
      </c>
    </row>
    <row customHeight="1" ht="24">
      <c r="A31" s="2055"/>
      <c r="B31" s="2054" t="s">
        <v>694</v>
      </c>
      <c r="C31" s="2054" t="s">
        <v>695</v>
      </c>
      <c r="D31" s="2053" t="s">
        <v>636</v>
      </c>
      <c r="E31" s="2057" t="s">
        <v>647</v>
      </c>
      <c r="F31" s="2057" t="s">
        <v>647</v>
      </c>
      <c r="H31" s="2022"/>
      <c r="I31" s="1676">
        <v>12</v>
      </c>
      <c r="J31" s="2023" t="s">
        <v>695</v>
      </c>
      <c r="K31" s="2019" t="s">
        <v>609</v>
      </c>
      <c r="L31" s="2070"/>
      <c r="M31" s="1622"/>
      <c r="N31" s="544"/>
      <c r="O31" s="1526"/>
      <c r="P31" s="544"/>
      <c r="AK31" s="1632">
        <v>23</v>
      </c>
    </row>
    <row customHeight="1" ht="48.29999999999999">
      <c r="A32" s="2055"/>
      <c r="B32" s="2054" t="s">
        <v>696</v>
      </c>
      <c r="C32" s="2054" t="s">
        <v>697</v>
      </c>
      <c r="D32" s="2053" t="s">
        <v>636</v>
      </c>
      <c r="E32" s="2057" t="s">
        <v>647</v>
      </c>
      <c r="F32" s="2057" t="s">
        <v>647</v>
      </c>
      <c r="H32" s="2022"/>
      <c r="I32" s="1676">
        <v>13</v>
      </c>
      <c r="J32" s="2023" t="s">
        <v>698</v>
      </c>
      <c r="K32" s="2019" t="s">
        <v>619</v>
      </c>
      <c r="L32" s="728"/>
      <c r="M32" s="558"/>
      <c r="N32" s="544"/>
      <c r="O32" s="1526" t="s">
        <v>658</v>
      </c>
      <c r="P32" s="544"/>
      <c r="AK32" s="1632">
        <v>46</v>
      </c>
    </row>
    <row s="1367" customFormat="1" customHeight="1" ht="48.29999999999999">
      <c r="A33" s="2055"/>
      <c r="B33" s="2054" t="s">
        <v>699</v>
      </c>
      <c r="C33" s="2054" t="s">
        <v>700</v>
      </c>
      <c r="D33" s="2053" t="s">
        <v>636</v>
      </c>
      <c r="E33" s="2057" t="s">
        <v>647</v>
      </c>
      <c r="F33" s="2057" t="s">
        <v>647</v>
      </c>
      <c r="G33" s="1637"/>
      <c r="H33" s="2022"/>
      <c r="I33" s="1676">
        <v>14</v>
      </c>
      <c r="J33" s="2035" t="s">
        <v>701</v>
      </c>
      <c r="K33" s="2024" t="s">
        <v>702</v>
      </c>
      <c r="L33" s="728"/>
      <c r="M33" s="558"/>
      <c r="N33" s="544"/>
      <c r="O33" s="1526" t="s">
        <v>658</v>
      </c>
      <c r="P33" s="544"/>
      <c r="Q33" s="1637"/>
      <c r="R33" s="1637"/>
      <c r="W33" s="1637"/>
      <c r="Z33" s="545"/>
      <c r="AF33" s="1633"/>
      <c r="AG33" s="1633"/>
      <c r="AH33" s="1633"/>
      <c r="AI33" s="1633"/>
      <c r="AJ33" s="1633"/>
      <c r="AK33" s="1367">
        <v>46</v>
      </c>
    </row>
    <row customHeight="1" ht="108">
      <c r="A34" s="2055"/>
      <c r="B34" s="2054" t="s">
        <v>703</v>
      </c>
      <c r="C34" s="2054" t="s">
        <v>704</v>
      </c>
      <c r="D34" s="2053" t="s">
        <v>646</v>
      </c>
      <c r="E34" s="2057" t="s">
        <v>647</v>
      </c>
      <c r="F34" s="2057" t="s">
        <v>647</v>
      </c>
      <c r="G34" s="1637" t="s">
        <v>607</v>
      </c>
      <c r="H34" s="2022"/>
      <c r="I34" s="2033">
        <v>15</v>
      </c>
      <c r="J34" s="2034" t="s">
        <v>705</v>
      </c>
      <c r="K34" s="2019" t="s">
        <v>323</v>
      </c>
      <c r="L34" s="386"/>
      <c r="M34" s="1165"/>
      <c r="N34" s="544"/>
      <c r="O34" s="1526" t="s">
        <v>650</v>
      </c>
      <c r="P34" s="544"/>
      <c r="AK34" s="1632">
        <v>103</v>
      </c>
    </row>
    <row s="1642" customFormat="1" customHeight="1" ht="11.549999999999999">
      <c r="A35" s="988"/>
      <c r="B35" s="988"/>
      <c r="C35" s="988"/>
      <c r="D35" s="988"/>
      <c r="E35" s="988"/>
      <c r="F35" s="1637"/>
      <c r="G35" s="1637"/>
      <c r="H35" s="352"/>
      <c r="N35" s="1367"/>
      <c r="P35" s="1367"/>
      <c r="Q35" s="1637"/>
      <c r="R35" s="1637"/>
      <c r="S35" s="1367"/>
      <c r="T35" s="1367"/>
      <c r="U35" s="1367"/>
      <c r="V35" s="1367"/>
      <c r="W35" s="1637"/>
      <c r="X35" s="1367"/>
      <c r="Y35" s="1367"/>
      <c r="Z35" s="545"/>
      <c r="AA35" s="1367"/>
      <c r="AB35" s="1367"/>
      <c r="AC35" s="1367"/>
      <c r="AD35" s="1367"/>
      <c r="AE35" s="1367"/>
      <c r="AF35" s="1633"/>
      <c r="AG35" s="623"/>
      <c r="AH35" s="623"/>
      <c r="AI35" s="623"/>
      <c r="AJ35" s="623"/>
      <c r="AK35" s="1642">
        <v>11</v>
      </c>
    </row>
    <row s="1642" customFormat="1" customHeight="1" ht="11.549999999999999">
      <c r="A36" s="988"/>
      <c r="B36" s="988"/>
      <c r="C36" s="988"/>
      <c r="D36" s="988"/>
      <c r="E36" s="988"/>
      <c r="F36" s="1637"/>
      <c r="G36" s="1637"/>
      <c r="H36" s="352"/>
      <c r="N36" s="1367"/>
      <c r="P36" s="1367"/>
      <c r="Q36" s="1637"/>
      <c r="R36" s="1637"/>
      <c r="S36" s="1367"/>
      <c r="T36" s="1367"/>
      <c r="U36" s="1367"/>
      <c r="V36" s="1367"/>
      <c r="W36" s="1637"/>
      <c r="X36" s="1367"/>
      <c r="Y36" s="1367"/>
      <c r="Z36" s="545"/>
      <c r="AA36" s="1367"/>
      <c r="AB36" s="1367"/>
      <c r="AC36" s="1367"/>
      <c r="AD36" s="1367"/>
      <c r="AE36" s="1367"/>
      <c r="AF36" s="1633"/>
      <c r="AG36" s="623"/>
      <c r="AH36" s="623"/>
      <c r="AI36" s="623"/>
      <c r="AJ36" s="623"/>
      <c r="AK36" s="1642">
        <v>11</v>
      </c>
    </row>
    <row s="1642" customFormat="1" customHeight="1" ht="11.549999999999999">
      <c r="A37" s="988"/>
      <c r="B37" s="988"/>
      <c r="C37" s="988"/>
      <c r="D37" s="988"/>
      <c r="E37" s="988"/>
      <c r="F37" s="1637"/>
      <c r="G37" s="1637"/>
      <c r="H37" s="352"/>
      <c r="L37" s="623"/>
      <c r="M37" s="623"/>
      <c r="N37" s="1367"/>
      <c r="P37" s="1367"/>
      <c r="Q37" s="1637"/>
      <c r="R37" s="1637"/>
      <c r="S37" s="1367"/>
      <c r="T37" s="1367"/>
      <c r="U37" s="1367"/>
      <c r="V37" s="1367"/>
      <c r="W37" s="1637"/>
      <c r="X37" s="1367"/>
      <c r="Y37" s="1367"/>
      <c r="Z37" s="545"/>
      <c r="AA37" s="1367"/>
      <c r="AB37" s="1367"/>
      <c r="AC37" s="1367"/>
      <c r="AD37" s="1367"/>
      <c r="AE37" s="1367"/>
      <c r="AF37" s="1633"/>
      <c r="AG37" s="623"/>
      <c r="AH37" s="623"/>
      <c r="AI37" s="623"/>
      <c r="AJ37" s="623"/>
      <c r="AK37" s="1642">
        <v>11</v>
      </c>
    </row>
    <row s="1642" customFormat="1" customHeight="1" ht="11.549999999999999">
      <c r="A38" s="988"/>
      <c r="B38" s="988"/>
      <c r="C38" s="988"/>
      <c r="D38" s="988"/>
      <c r="E38" s="988"/>
      <c r="F38" s="1637"/>
      <c r="G38" s="1637"/>
      <c r="H38" s="352"/>
      <c r="N38" s="1367"/>
      <c r="P38" s="1367"/>
      <c r="Q38" s="1637"/>
      <c r="R38" s="1637"/>
      <c r="S38" s="1367"/>
      <c r="T38" s="1367"/>
      <c r="U38" s="1367"/>
      <c r="V38" s="1367"/>
      <c r="W38" s="1637"/>
      <c r="X38" s="1367"/>
      <c r="Y38" s="1367"/>
      <c r="Z38" s="545"/>
      <c r="AA38" s="1367"/>
      <c r="AB38" s="1367"/>
      <c r="AC38" s="1367"/>
      <c r="AD38" s="1367"/>
      <c r="AE38" s="1367"/>
      <c r="AF38" s="1633"/>
      <c r="AG38" s="623"/>
      <c r="AH38" s="623"/>
      <c r="AI38" s="623"/>
      <c r="AJ38" s="623"/>
      <c r="AK38" s="1642">
        <v>11</v>
      </c>
    </row>
    <row s="1642" customFormat="1" customHeight="1" ht="11.549999999999999">
      <c r="A39" s="988"/>
      <c r="B39" s="988"/>
      <c r="C39" s="988"/>
      <c r="D39" s="988"/>
      <c r="E39" s="988"/>
      <c r="F39" s="1637"/>
      <c r="G39" s="1637"/>
      <c r="H39" s="352"/>
      <c r="N39" s="1367"/>
      <c r="P39" s="1367"/>
      <c r="Q39" s="1637"/>
      <c r="R39" s="1637"/>
      <c r="S39" s="1367"/>
      <c r="T39" s="1367"/>
      <c r="U39" s="1367"/>
      <c r="V39" s="1367"/>
      <c r="W39" s="1637"/>
      <c r="X39" s="1367"/>
      <c r="Y39" s="1367"/>
      <c r="Z39" s="545"/>
      <c r="AA39" s="1367"/>
      <c r="AB39" s="1367"/>
      <c r="AC39" s="1367"/>
      <c r="AD39" s="1367"/>
      <c r="AE39" s="1367"/>
      <c r="AF39" s="1633"/>
      <c r="AG39" s="623"/>
      <c r="AH39" s="623"/>
      <c r="AI39" s="623"/>
      <c r="AJ39" s="623"/>
      <c r="AK39" s="1642">
        <v>11</v>
      </c>
    </row>
    <row s="1642" customFormat="1" customHeight="1" ht="11.549999999999999">
      <c r="A40" s="988"/>
      <c r="B40" s="988"/>
      <c r="C40" s="988"/>
      <c r="D40" s="988"/>
      <c r="E40" s="988"/>
      <c r="F40" s="1637"/>
      <c r="G40" s="1637"/>
      <c r="H40" s="352"/>
      <c r="N40" s="1367"/>
      <c r="P40" s="1367"/>
      <c r="Q40" s="1637"/>
      <c r="R40" s="1637"/>
      <c r="S40" s="1367"/>
      <c r="T40" s="1367"/>
      <c r="U40" s="1367"/>
      <c r="V40" s="1367"/>
      <c r="W40" s="1637"/>
      <c r="X40" s="1367"/>
      <c r="Y40" s="1367"/>
      <c r="Z40" s="545"/>
      <c r="AA40" s="1367"/>
      <c r="AB40" s="1367"/>
      <c r="AC40" s="1367"/>
      <c r="AD40" s="1367"/>
      <c r="AE40" s="1367"/>
      <c r="AF40" s="1633"/>
      <c r="AG40" s="623"/>
      <c r="AH40" s="623"/>
      <c r="AI40" s="623"/>
      <c r="AJ40" s="623"/>
      <c r="AK40" s="1642">
        <v>11</v>
      </c>
    </row>
    <row s="1642" customFormat="1" customHeight="1" ht="11.549999999999999">
      <c r="A41" s="988"/>
      <c r="B41" s="988"/>
      <c r="C41" s="988"/>
      <c r="D41" s="988"/>
      <c r="E41" s="988"/>
      <c r="F41" s="1637"/>
      <c r="G41" s="1637"/>
      <c r="H41" s="352"/>
      <c r="N41" s="1367"/>
      <c r="P41" s="1367"/>
      <c r="Q41" s="1637"/>
      <c r="R41" s="1637"/>
      <c r="S41" s="1367"/>
      <c r="T41" s="1367"/>
      <c r="U41" s="1367"/>
      <c r="V41" s="1367"/>
      <c r="W41" s="1637"/>
      <c r="X41" s="1367"/>
      <c r="Y41" s="1367"/>
      <c r="Z41" s="545"/>
      <c r="AA41" s="1367"/>
      <c r="AB41" s="1367"/>
      <c r="AC41" s="1367"/>
      <c r="AD41" s="1367"/>
      <c r="AE41" s="1367"/>
      <c r="AF41" s="1633"/>
      <c r="AG41" s="623"/>
      <c r="AH41" s="623"/>
      <c r="AI41" s="623"/>
      <c r="AJ41" s="623"/>
      <c r="AK41" s="1642">
        <v>11</v>
      </c>
    </row>
    <row s="1642" customFormat="1" customHeight="1" ht="11.549999999999999">
      <c r="A42" s="988"/>
      <c r="B42" s="988"/>
      <c r="C42" s="988"/>
      <c r="D42" s="988"/>
      <c r="E42" s="988"/>
      <c r="F42" s="1637"/>
      <c r="G42" s="1637"/>
      <c r="H42" s="352"/>
      <c r="N42" s="1367"/>
      <c r="P42" s="1367"/>
      <c r="Q42" s="1637"/>
      <c r="R42" s="1637"/>
      <c r="S42" s="1367"/>
      <c r="T42" s="1367"/>
      <c r="U42" s="1367"/>
      <c r="V42" s="1367"/>
      <c r="W42" s="1637"/>
      <c r="X42" s="1367"/>
      <c r="Y42" s="1367"/>
      <c r="Z42" s="545"/>
      <c r="AA42" s="1367"/>
      <c r="AB42" s="1367"/>
      <c r="AC42" s="1367"/>
      <c r="AD42" s="1367"/>
      <c r="AE42" s="1367"/>
      <c r="AF42" s="1633"/>
      <c r="AG42" s="623"/>
      <c r="AH42" s="623"/>
      <c r="AI42" s="623"/>
      <c r="AJ42" s="623"/>
      <c r="AK42" s="1642">
        <v>11</v>
      </c>
    </row>
    <row s="1642" customFormat="1" customHeight="1" ht="11.549999999999999">
      <c r="A43" s="988"/>
      <c r="B43" s="988"/>
      <c r="C43" s="988"/>
      <c r="D43" s="988"/>
      <c r="E43" s="988"/>
      <c r="F43" s="1637"/>
      <c r="G43" s="1637"/>
      <c r="H43" s="352"/>
      <c r="N43" s="1367"/>
      <c r="P43" s="1367"/>
      <c r="Q43" s="1637"/>
      <c r="R43" s="1637"/>
      <c r="S43" s="1367"/>
      <c r="T43" s="1367"/>
      <c r="U43" s="1367"/>
      <c r="V43" s="1367"/>
      <c r="W43" s="1637"/>
      <c r="X43" s="1367"/>
      <c r="Y43" s="1367"/>
      <c r="Z43" s="545"/>
      <c r="AA43" s="1367"/>
      <c r="AB43" s="1367"/>
      <c r="AC43" s="1367"/>
      <c r="AD43" s="1367"/>
      <c r="AE43" s="1367"/>
      <c r="AF43" s="1633"/>
      <c r="AG43" s="623"/>
      <c r="AH43" s="623"/>
      <c r="AI43" s="623"/>
      <c r="AJ43" s="623"/>
      <c r="AK43" s="1642">
        <v>11</v>
      </c>
    </row>
    <row s="1642" customFormat="1" customHeight="1" ht="11.549999999999999">
      <c r="A44" s="988"/>
      <c r="B44" s="988"/>
      <c r="C44" s="988"/>
      <c r="D44" s="988"/>
      <c r="E44" s="988"/>
      <c r="F44" s="1637"/>
      <c r="G44" s="1637"/>
      <c r="H44" s="352"/>
      <c r="N44" s="1367"/>
      <c r="P44" s="1367"/>
      <c r="Q44" s="1637"/>
      <c r="R44" s="1637"/>
      <c r="S44" s="1367"/>
      <c r="T44" s="1367"/>
      <c r="U44" s="1367"/>
      <c r="V44" s="1367"/>
      <c r="W44" s="1637"/>
      <c r="X44" s="1367"/>
      <c r="Y44" s="1367"/>
      <c r="Z44" s="545"/>
      <c r="AA44" s="1367"/>
      <c r="AB44" s="1367"/>
      <c r="AC44" s="1367"/>
      <c r="AD44" s="1367"/>
      <c r="AE44" s="1367"/>
      <c r="AF44" s="1633"/>
      <c r="AG44" s="623"/>
      <c r="AH44" s="623"/>
      <c r="AI44" s="623"/>
      <c r="AJ44" s="623"/>
      <c r="AK44" s="1642">
        <v>11</v>
      </c>
    </row>
    <row s="1642" customFormat="1" customHeight="1" ht="11.549999999999999">
      <c r="A45" s="988"/>
      <c r="B45" s="988"/>
      <c r="C45" s="988"/>
      <c r="D45" s="988"/>
      <c r="E45" s="988"/>
      <c r="F45" s="1637"/>
      <c r="G45" s="1637"/>
      <c r="H45" s="352"/>
      <c r="N45" s="1367"/>
      <c r="P45" s="1367"/>
      <c r="Q45" s="1637"/>
      <c r="R45" s="1637"/>
      <c r="S45" s="1367"/>
      <c r="T45" s="1367"/>
      <c r="U45" s="1367"/>
      <c r="V45" s="1367"/>
      <c r="W45" s="1637"/>
      <c r="X45" s="1367"/>
      <c r="Y45" s="1367"/>
      <c r="Z45" s="545"/>
      <c r="AA45" s="1367"/>
      <c r="AB45" s="1367"/>
      <c r="AC45" s="1367"/>
      <c r="AD45" s="1367"/>
      <c r="AE45" s="1367"/>
      <c r="AF45" s="1633"/>
      <c r="AG45" s="623"/>
      <c r="AH45" s="623"/>
      <c r="AI45" s="623"/>
      <c r="AJ45" s="623"/>
      <c r="AK45" s="1642">
        <v>11</v>
      </c>
    </row>
    <row s="1642" customFormat="1" customHeight="1" ht="11.549999999999999">
      <c r="A46" s="988"/>
      <c r="B46" s="988"/>
      <c r="C46" s="988"/>
      <c r="D46" s="988"/>
      <c r="E46" s="988"/>
      <c r="F46" s="1637"/>
      <c r="G46" s="1637"/>
      <c r="H46" s="352"/>
      <c r="N46" s="1367"/>
      <c r="P46" s="1367"/>
      <c r="Q46" s="1637"/>
      <c r="R46" s="1637"/>
      <c r="S46" s="1367"/>
      <c r="T46" s="1367"/>
      <c r="U46" s="1367"/>
      <c r="V46" s="1367"/>
      <c r="W46" s="1637"/>
      <c r="X46" s="1367"/>
      <c r="Y46" s="1367"/>
      <c r="Z46" s="545"/>
      <c r="AA46" s="1367"/>
      <c r="AB46" s="1367"/>
      <c r="AC46" s="1367"/>
      <c r="AD46" s="1367"/>
      <c r="AE46" s="1367"/>
      <c r="AF46" s="1633"/>
      <c r="AG46" s="623"/>
      <c r="AH46" s="623"/>
      <c r="AI46" s="623"/>
      <c r="AJ46" s="623"/>
      <c r="AK46" s="1642">
        <v>11</v>
      </c>
    </row>
    <row s="1642" customFormat="1" customHeight="1" ht="11.549999999999999">
      <c r="A47" s="988"/>
      <c r="B47" s="988"/>
      <c r="C47" s="988"/>
      <c r="D47" s="988"/>
      <c r="E47" s="988"/>
      <c r="F47" s="1637"/>
      <c r="G47" s="1637"/>
      <c r="H47" s="352"/>
      <c r="N47" s="1367"/>
      <c r="P47" s="1367"/>
      <c r="Q47" s="1637"/>
      <c r="R47" s="1637"/>
      <c r="S47" s="1367"/>
      <c r="T47" s="1367"/>
      <c r="U47" s="1367"/>
      <c r="V47" s="1367"/>
      <c r="W47" s="1637"/>
      <c r="X47" s="1367"/>
      <c r="Y47" s="1367"/>
      <c r="Z47" s="545"/>
      <c r="AA47" s="1367"/>
      <c r="AB47" s="1367"/>
      <c r="AC47" s="1367"/>
      <c r="AD47" s="1367"/>
      <c r="AE47" s="1367"/>
      <c r="AF47" s="1633"/>
      <c r="AG47" s="623"/>
      <c r="AH47" s="623"/>
      <c r="AI47" s="623"/>
      <c r="AJ47" s="623"/>
      <c r="AK47" s="1642">
        <v>11</v>
      </c>
    </row>
    <row s="1642" customFormat="1" customHeight="1" ht="11.549999999999999">
      <c r="A48" s="988"/>
      <c r="B48" s="988"/>
      <c r="C48" s="988"/>
      <c r="D48" s="988"/>
      <c r="E48" s="988"/>
      <c r="F48" s="1637"/>
      <c r="G48" s="1637"/>
      <c r="H48" s="352"/>
      <c r="N48" s="1367"/>
      <c r="P48" s="1367"/>
      <c r="Q48" s="1637"/>
      <c r="R48" s="1637"/>
      <c r="S48" s="1367"/>
      <c r="T48" s="1367"/>
      <c r="U48" s="1367"/>
      <c r="V48" s="1367"/>
      <c r="W48" s="1637"/>
      <c r="X48" s="1367"/>
      <c r="Y48" s="1367"/>
      <c r="Z48" s="545"/>
      <c r="AA48" s="1367"/>
      <c r="AB48" s="1367"/>
      <c r="AC48" s="1367"/>
      <c r="AD48" s="1367"/>
      <c r="AE48" s="1367"/>
      <c r="AF48" s="1633"/>
      <c r="AG48" s="623"/>
      <c r="AH48" s="623"/>
      <c r="AI48" s="623"/>
      <c r="AJ48" s="623"/>
      <c r="AK48" s="1642">
        <v>11</v>
      </c>
    </row>
    <row s="1642" customFormat="1" customHeight="1" ht="11.549999999999999">
      <c r="A49" s="988"/>
      <c r="B49" s="988"/>
      <c r="C49" s="988"/>
      <c r="D49" s="988"/>
      <c r="E49" s="988"/>
      <c r="F49" s="1637"/>
      <c r="G49" s="1637"/>
      <c r="H49" s="352"/>
      <c r="N49" s="1367"/>
      <c r="P49" s="1367"/>
      <c r="Q49" s="1637"/>
      <c r="R49" s="1637"/>
      <c r="S49" s="1367"/>
      <c r="T49" s="1367"/>
      <c r="U49" s="1367"/>
      <c r="V49" s="1367"/>
      <c r="W49" s="1637"/>
      <c r="X49" s="1367"/>
      <c r="Y49" s="1367"/>
      <c r="Z49" s="545"/>
      <c r="AA49" s="1367"/>
      <c r="AB49" s="1367"/>
      <c r="AC49" s="1367"/>
      <c r="AD49" s="1367"/>
      <c r="AE49" s="1367"/>
      <c r="AF49" s="1633"/>
      <c r="AG49" s="623"/>
      <c r="AH49" s="623"/>
      <c r="AI49" s="623"/>
      <c r="AJ49" s="623"/>
      <c r="AK49" s="1642">
        <v>11</v>
      </c>
    </row>
    <row s="1642" customFormat="1" customHeight="1" ht="11.549999999999999">
      <c r="A50" s="988"/>
      <c r="B50" s="988"/>
      <c r="C50" s="988"/>
      <c r="D50" s="988"/>
      <c r="E50" s="988"/>
      <c r="F50" s="1637"/>
      <c r="G50" s="1637"/>
      <c r="H50" s="352"/>
      <c r="N50" s="1367"/>
      <c r="P50" s="1367"/>
      <c r="Q50" s="1637"/>
      <c r="R50" s="1637"/>
      <c r="S50" s="1367"/>
      <c r="T50" s="1367"/>
      <c r="U50" s="1367"/>
      <c r="V50" s="1367"/>
      <c r="W50" s="1637"/>
      <c r="X50" s="1367"/>
      <c r="Y50" s="1367"/>
      <c r="Z50" s="545"/>
      <c r="AA50" s="1367"/>
      <c r="AB50" s="1367"/>
      <c r="AC50" s="1367"/>
      <c r="AD50" s="1367"/>
      <c r="AE50" s="1367"/>
      <c r="AF50" s="1633"/>
      <c r="AG50" s="623"/>
      <c r="AH50" s="623"/>
      <c r="AI50" s="623"/>
      <c r="AJ50" s="623"/>
      <c r="AK50" s="1642">
        <v>11</v>
      </c>
    </row>
    <row s="1642" customFormat="1" customHeight="1" ht="11.549999999999999">
      <c r="A51" s="988"/>
      <c r="B51" s="988"/>
      <c r="C51" s="988"/>
      <c r="D51" s="988"/>
      <c r="E51" s="988"/>
      <c r="F51" s="1637"/>
      <c r="G51" s="1637"/>
      <c r="H51" s="352"/>
      <c r="N51" s="1367"/>
      <c r="P51" s="1367"/>
      <c r="Q51" s="1637"/>
      <c r="R51" s="1637"/>
      <c r="S51" s="1367"/>
      <c r="T51" s="1367"/>
      <c r="U51" s="1367"/>
      <c r="V51" s="1367"/>
      <c r="W51" s="1637"/>
      <c r="X51" s="1367"/>
      <c r="Y51" s="1367"/>
      <c r="Z51" s="545"/>
      <c r="AA51" s="1367"/>
      <c r="AB51" s="1367"/>
      <c r="AC51" s="1367"/>
      <c r="AD51" s="1367"/>
      <c r="AE51" s="1367"/>
      <c r="AF51" s="1633"/>
      <c r="AG51" s="623"/>
      <c r="AH51" s="623"/>
      <c r="AI51" s="623"/>
      <c r="AJ51" s="623"/>
      <c r="AK51" s="1642">
        <v>11</v>
      </c>
    </row>
    <row s="1642" customFormat="1" customHeight="1" ht="11.549999999999999">
      <c r="A52" s="988"/>
      <c r="B52" s="988"/>
      <c r="C52" s="988"/>
      <c r="D52" s="988"/>
      <c r="E52" s="988"/>
      <c r="F52" s="1637"/>
      <c r="G52" s="1637"/>
      <c r="H52" s="352"/>
      <c r="N52" s="1367"/>
      <c r="P52" s="1367"/>
      <c r="Q52" s="1637"/>
      <c r="R52" s="1637"/>
      <c r="S52" s="1367"/>
      <c r="T52" s="1367"/>
      <c r="U52" s="1367"/>
      <c r="V52" s="1367"/>
      <c r="W52" s="1637"/>
      <c r="X52" s="1367"/>
      <c r="Y52" s="1367"/>
      <c r="Z52" s="545"/>
      <c r="AA52" s="1367"/>
      <c r="AB52" s="1367"/>
      <c r="AC52" s="1367"/>
      <c r="AD52" s="1367"/>
      <c r="AE52" s="1367"/>
      <c r="AF52" s="1633"/>
      <c r="AG52" s="623"/>
      <c r="AH52" s="623"/>
      <c r="AI52" s="623"/>
      <c r="AJ52" s="623"/>
      <c r="AK52" s="1642">
        <v>11</v>
      </c>
    </row>
    <row s="1642" customFormat="1" customHeight="1" ht="11.549999999999999">
      <c r="A53" s="988"/>
      <c r="B53" s="988"/>
      <c r="C53" s="988"/>
      <c r="D53" s="988"/>
      <c r="E53" s="988"/>
      <c r="F53" s="1637"/>
      <c r="G53" s="1637"/>
      <c r="H53" s="352"/>
      <c r="N53" s="1367"/>
      <c r="P53" s="1367"/>
      <c r="Q53" s="1637"/>
      <c r="R53" s="1637"/>
      <c r="S53" s="1367"/>
      <c r="T53" s="1367"/>
      <c r="U53" s="1367"/>
      <c r="V53" s="1367"/>
      <c r="W53" s="1637"/>
      <c r="X53" s="1367"/>
      <c r="Y53" s="1367"/>
      <c r="Z53" s="545"/>
      <c r="AA53" s="1367"/>
      <c r="AB53" s="1367"/>
      <c r="AC53" s="1367"/>
      <c r="AD53" s="1367"/>
      <c r="AE53" s="1367"/>
      <c r="AF53" s="1633"/>
      <c r="AG53" s="623"/>
      <c r="AH53" s="623"/>
      <c r="AI53" s="623"/>
      <c r="AJ53" s="623"/>
      <c r="AK53" s="1642">
        <v>11</v>
      </c>
    </row>
    <row s="1642" customFormat="1" customHeight="1" ht="11.549999999999999">
      <c r="A54" s="988"/>
      <c r="B54" s="988"/>
      <c r="C54" s="988"/>
      <c r="D54" s="988"/>
      <c r="E54" s="988"/>
      <c r="F54" s="1637"/>
      <c r="G54" s="1637"/>
      <c r="H54" s="352"/>
      <c r="N54" s="1367"/>
      <c r="P54" s="1367"/>
      <c r="Q54" s="1637"/>
      <c r="R54" s="1637"/>
      <c r="S54" s="1367"/>
      <c r="T54" s="1367"/>
      <c r="U54" s="1367"/>
      <c r="V54" s="1367"/>
      <c r="W54" s="1637"/>
      <c r="X54" s="1367"/>
      <c r="Y54" s="1367"/>
      <c r="Z54" s="545"/>
      <c r="AA54" s="1367"/>
      <c r="AB54" s="1367"/>
      <c r="AC54" s="1367"/>
      <c r="AD54" s="1367"/>
      <c r="AE54" s="1367"/>
      <c r="AF54" s="1633"/>
      <c r="AG54" s="623"/>
      <c r="AH54" s="623"/>
      <c r="AI54" s="623"/>
      <c r="AJ54" s="623"/>
      <c r="AK54" s="1642">
        <v>11</v>
      </c>
    </row>
    <row s="1642" customFormat="1" customHeight="1" ht="11.549999999999999">
      <c r="A55" s="988"/>
      <c r="B55" s="988"/>
      <c r="C55" s="988"/>
      <c r="D55" s="988"/>
      <c r="E55" s="988"/>
      <c r="F55" s="1637"/>
      <c r="G55" s="1637"/>
      <c r="H55" s="352"/>
      <c r="N55" s="1367"/>
      <c r="P55" s="1367"/>
      <c r="Q55" s="1637"/>
      <c r="R55" s="1637"/>
      <c r="S55" s="1367"/>
      <c r="T55" s="1367"/>
      <c r="U55" s="1367"/>
      <c r="V55" s="1367"/>
      <c r="W55" s="1637"/>
      <c r="X55" s="1367"/>
      <c r="Y55" s="1367"/>
      <c r="Z55" s="545"/>
      <c r="AA55" s="1367"/>
      <c r="AB55" s="1367"/>
      <c r="AC55" s="1367"/>
      <c r="AD55" s="1367"/>
      <c r="AE55" s="1367"/>
      <c r="AF55" s="1633"/>
      <c r="AG55" s="623"/>
      <c r="AH55" s="623"/>
      <c r="AI55" s="623"/>
      <c r="AJ55" s="623"/>
      <c r="AK55" s="1642">
        <v>11</v>
      </c>
    </row>
    <row s="1642" customFormat="1" customHeight="1" ht="11.549999999999999">
      <c r="A56" s="988"/>
      <c r="B56" s="988"/>
      <c r="C56" s="988"/>
      <c r="D56" s="988"/>
      <c r="E56" s="988"/>
      <c r="F56" s="1637"/>
      <c r="G56" s="1637"/>
      <c r="H56" s="352"/>
      <c r="N56" s="1367"/>
      <c r="P56" s="1367"/>
      <c r="Q56" s="1637"/>
      <c r="R56" s="1637"/>
      <c r="S56" s="1367"/>
      <c r="T56" s="1367"/>
      <c r="U56" s="1367"/>
      <c r="V56" s="1367"/>
      <c r="W56" s="1637"/>
      <c r="X56" s="1367"/>
      <c r="Y56" s="1367"/>
      <c r="Z56" s="545"/>
      <c r="AA56" s="1367"/>
      <c r="AB56" s="1367"/>
      <c r="AC56" s="1367"/>
      <c r="AD56" s="1367"/>
      <c r="AE56" s="1367"/>
      <c r="AF56" s="1633"/>
      <c r="AG56" s="623"/>
      <c r="AH56" s="623"/>
      <c r="AI56" s="623"/>
      <c r="AJ56" s="623"/>
      <c r="AK56" s="1642">
        <v>11</v>
      </c>
    </row>
    <row s="1642" customFormat="1" customHeight="1" ht="11.549999999999999">
      <c r="A57" s="988"/>
      <c r="B57" s="988"/>
      <c r="C57" s="988"/>
      <c r="D57" s="988"/>
      <c r="E57" s="988"/>
      <c r="F57" s="1637"/>
      <c r="G57" s="1637"/>
      <c r="H57" s="352"/>
      <c r="N57" s="1367"/>
      <c r="P57" s="1367"/>
      <c r="Q57" s="1637"/>
      <c r="R57" s="1637"/>
      <c r="S57" s="1367"/>
      <c r="T57" s="1367"/>
      <c r="U57" s="1367"/>
      <c r="V57" s="1367"/>
      <c r="W57" s="1637"/>
      <c r="X57" s="1367"/>
      <c r="Y57" s="1367"/>
      <c r="Z57" s="545"/>
      <c r="AA57" s="1367"/>
      <c r="AB57" s="1367"/>
      <c r="AC57" s="1367"/>
      <c r="AD57" s="1367"/>
      <c r="AE57" s="1367"/>
      <c r="AF57" s="1633"/>
      <c r="AG57" s="623"/>
      <c r="AH57" s="623"/>
      <c r="AI57" s="623"/>
      <c r="AJ57" s="623"/>
      <c r="AK57" s="1642">
        <v>11</v>
      </c>
    </row>
    <row s="1642" customFormat="1" customHeight="1" ht="11.549999999999999">
      <c r="A58" s="988"/>
      <c r="B58" s="988"/>
      <c r="C58" s="988"/>
      <c r="D58" s="988"/>
      <c r="E58" s="988"/>
      <c r="F58" s="1637"/>
      <c r="G58" s="1637"/>
      <c r="H58" s="352"/>
      <c r="N58" s="1367"/>
      <c r="P58" s="1367"/>
      <c r="Q58" s="1637"/>
      <c r="R58" s="1637"/>
      <c r="S58" s="1367"/>
      <c r="T58" s="1367"/>
      <c r="U58" s="1367"/>
      <c r="V58" s="1367"/>
      <c r="W58" s="1637"/>
      <c r="X58" s="1367"/>
      <c r="Y58" s="1367"/>
      <c r="Z58" s="545"/>
      <c r="AA58" s="1367"/>
      <c r="AB58" s="1367"/>
      <c r="AC58" s="1367"/>
      <c r="AD58" s="1367"/>
      <c r="AE58" s="1367"/>
      <c r="AF58" s="1633"/>
      <c r="AG58" s="623"/>
      <c r="AH58" s="623"/>
      <c r="AI58" s="623"/>
      <c r="AJ58" s="623"/>
      <c r="AK58" s="1642">
        <v>11</v>
      </c>
    </row>
    <row s="1642" customFormat="1" customHeight="1" ht="11.549999999999999">
      <c r="A59" s="988"/>
      <c r="B59" s="988"/>
      <c r="C59" s="988"/>
      <c r="D59" s="988"/>
      <c r="E59" s="988"/>
      <c r="F59" s="1637"/>
      <c r="G59" s="1637"/>
      <c r="H59" s="352"/>
      <c r="N59" s="1367"/>
      <c r="P59" s="1367"/>
      <c r="Q59" s="1637"/>
      <c r="R59" s="1637"/>
      <c r="S59" s="1367"/>
      <c r="T59" s="1367"/>
      <c r="U59" s="1367"/>
      <c r="V59" s="1367"/>
      <c r="W59" s="1637"/>
      <c r="X59" s="1367"/>
      <c r="Y59" s="1367"/>
      <c r="Z59" s="545"/>
      <c r="AA59" s="1367"/>
      <c r="AB59" s="1367"/>
      <c r="AC59" s="1367"/>
      <c r="AD59" s="1367"/>
      <c r="AE59" s="1367"/>
      <c r="AF59" s="1633"/>
      <c r="AG59" s="623"/>
      <c r="AH59" s="623"/>
      <c r="AI59" s="623"/>
      <c r="AJ59" s="623"/>
      <c r="AK59" s="1642">
        <v>11</v>
      </c>
    </row>
    <row s="1642" customFormat="1" customHeight="1" ht="11.549999999999999">
      <c r="A60" s="988"/>
      <c r="B60" s="988"/>
      <c r="C60" s="988"/>
      <c r="D60" s="988"/>
      <c r="E60" s="988"/>
      <c r="F60" s="1637"/>
      <c r="G60" s="1637"/>
      <c r="H60" s="352"/>
      <c r="N60" s="1367"/>
      <c r="P60" s="1367"/>
      <c r="Q60" s="1637"/>
      <c r="R60" s="1637"/>
      <c r="S60" s="1367"/>
      <c r="T60" s="1367"/>
      <c r="U60" s="1367"/>
      <c r="V60" s="1367"/>
      <c r="W60" s="1637"/>
      <c r="X60" s="1367"/>
      <c r="Y60" s="1367"/>
      <c r="Z60" s="545"/>
      <c r="AA60" s="1367"/>
      <c r="AB60" s="1367"/>
      <c r="AC60" s="1367"/>
      <c r="AD60" s="1367"/>
      <c r="AE60" s="1367"/>
      <c r="AF60" s="1633"/>
      <c r="AG60" s="623"/>
      <c r="AH60" s="623"/>
      <c r="AI60" s="623"/>
      <c r="AJ60" s="623"/>
      <c r="AK60" s="1642">
        <v>11</v>
      </c>
    </row>
    <row s="1642" customFormat="1" customHeight="1" ht="11.549999999999999">
      <c r="A61" s="988"/>
      <c r="B61" s="988"/>
      <c r="C61" s="988"/>
      <c r="D61" s="988"/>
      <c r="E61" s="988"/>
      <c r="F61" s="1637"/>
      <c r="G61" s="1637"/>
      <c r="H61" s="352"/>
      <c r="N61" s="1367"/>
      <c r="P61" s="1367"/>
      <c r="Q61" s="1637"/>
      <c r="R61" s="1637"/>
      <c r="S61" s="1367"/>
      <c r="T61" s="1367"/>
      <c r="U61" s="1367"/>
      <c r="V61" s="1367"/>
      <c r="W61" s="1637"/>
      <c r="X61" s="1367"/>
      <c r="Y61" s="1367"/>
      <c r="Z61" s="545"/>
      <c r="AA61" s="1367"/>
      <c r="AB61" s="1367"/>
      <c r="AC61" s="1367"/>
      <c r="AD61" s="1367"/>
      <c r="AE61" s="1367"/>
      <c r="AF61" s="1633"/>
      <c r="AG61" s="623"/>
      <c r="AH61" s="623"/>
      <c r="AI61" s="623"/>
      <c r="AJ61" s="623"/>
      <c r="AK61" s="1642">
        <v>11</v>
      </c>
    </row>
    <row s="1642" customFormat="1" customHeight="1" ht="11.549999999999999">
      <c r="A62" s="988"/>
      <c r="B62" s="988"/>
      <c r="C62" s="988"/>
      <c r="D62" s="988"/>
      <c r="E62" s="988"/>
      <c r="F62" s="1637"/>
      <c r="G62" s="1637"/>
      <c r="H62" s="352"/>
      <c r="N62" s="1367"/>
      <c r="P62" s="1367"/>
      <c r="Q62" s="1637"/>
      <c r="R62" s="1637"/>
      <c r="S62" s="1367"/>
      <c r="T62" s="1367"/>
      <c r="U62" s="1367"/>
      <c r="V62" s="1367"/>
      <c r="W62" s="1637"/>
      <c r="X62" s="1367"/>
      <c r="Y62" s="1367"/>
      <c r="Z62" s="545"/>
      <c r="AA62" s="1367"/>
      <c r="AB62" s="1367"/>
      <c r="AC62" s="1367"/>
      <c r="AD62" s="1367"/>
      <c r="AE62" s="1367"/>
      <c r="AF62" s="1633"/>
      <c r="AG62" s="623"/>
      <c r="AH62" s="623"/>
      <c r="AI62" s="623"/>
      <c r="AJ62" s="623"/>
      <c r="AK62" s="1642">
        <v>11</v>
      </c>
    </row>
    <row s="1642" customFormat="1" customHeight="1" ht="11.549999999999999">
      <c r="A63" s="988"/>
      <c r="B63" s="988"/>
      <c r="C63" s="988"/>
      <c r="D63" s="988"/>
      <c r="E63" s="988"/>
      <c r="F63" s="1637"/>
      <c r="G63" s="1637"/>
      <c r="H63" s="352"/>
      <c r="N63" s="1367"/>
      <c r="P63" s="1367"/>
      <c r="Q63" s="1637"/>
      <c r="R63" s="1637"/>
      <c r="S63" s="1367"/>
      <c r="T63" s="1367"/>
      <c r="U63" s="1367"/>
      <c r="V63" s="1367"/>
      <c r="W63" s="1637"/>
      <c r="X63" s="1367"/>
      <c r="Y63" s="1367"/>
      <c r="Z63" s="545"/>
      <c r="AA63" s="1367"/>
      <c r="AB63" s="1367"/>
      <c r="AC63" s="1367"/>
      <c r="AD63" s="1367"/>
      <c r="AE63" s="1367"/>
      <c r="AF63" s="1633"/>
      <c r="AG63" s="623"/>
      <c r="AH63" s="623"/>
      <c r="AI63" s="623"/>
      <c r="AJ63" s="623"/>
      <c r="AK63" s="1642">
        <v>11</v>
      </c>
    </row>
    <row s="1642" customFormat="1" customHeight="1" ht="11.549999999999999">
      <c r="A64" s="988"/>
      <c r="B64" s="988"/>
      <c r="C64" s="988"/>
      <c r="D64" s="988"/>
      <c r="E64" s="988"/>
      <c r="F64" s="1637"/>
      <c r="G64" s="1637"/>
      <c r="H64" s="352"/>
      <c r="N64" s="1367"/>
      <c r="P64" s="1367"/>
      <c r="Q64" s="1637"/>
      <c r="R64" s="1637"/>
      <c r="S64" s="1367"/>
      <c r="T64" s="1367"/>
      <c r="U64" s="1367"/>
      <c r="V64" s="1367"/>
      <c r="W64" s="1637"/>
      <c r="X64" s="1367"/>
      <c r="Y64" s="1367"/>
      <c r="Z64" s="545"/>
      <c r="AA64" s="1367"/>
      <c r="AB64" s="1367"/>
      <c r="AC64" s="1367"/>
      <c r="AD64" s="1367"/>
      <c r="AE64" s="1367"/>
      <c r="AF64" s="1633"/>
      <c r="AG64" s="623"/>
      <c r="AH64" s="623"/>
      <c r="AI64" s="623"/>
      <c r="AJ64" s="623"/>
      <c r="AK64" s="1642">
        <v>11</v>
      </c>
    </row>
    <row s="1642" customFormat="1" customHeight="1" ht="11.549999999999999">
      <c r="A65" s="988"/>
      <c r="B65" s="988"/>
      <c r="C65" s="988"/>
      <c r="D65" s="988"/>
      <c r="E65" s="988"/>
      <c r="F65" s="1637"/>
      <c r="G65" s="1637"/>
      <c r="H65" s="352"/>
      <c r="N65" s="1367"/>
      <c r="P65" s="1367"/>
      <c r="Q65" s="1637"/>
      <c r="R65" s="1637"/>
      <c r="S65" s="1367"/>
      <c r="T65" s="1367"/>
      <c r="U65" s="1367"/>
      <c r="V65" s="1367"/>
      <c r="W65" s="1637"/>
      <c r="X65" s="1367"/>
      <c r="Y65" s="1367"/>
      <c r="Z65" s="545"/>
      <c r="AA65" s="1367"/>
      <c r="AB65" s="1367"/>
      <c r="AC65" s="1367"/>
      <c r="AD65" s="1367"/>
      <c r="AE65" s="1367"/>
      <c r="AF65" s="1633"/>
      <c r="AG65" s="623"/>
      <c r="AH65" s="623"/>
      <c r="AI65" s="623"/>
      <c r="AJ65" s="623"/>
      <c r="AK65" s="1642">
        <v>11</v>
      </c>
    </row>
    <row s="1642" customFormat="1" customHeight="1" ht="11.549999999999999">
      <c r="A66" s="988"/>
      <c r="B66" s="988"/>
      <c r="C66" s="988"/>
      <c r="D66" s="988"/>
      <c r="E66" s="988"/>
      <c r="F66" s="1637"/>
      <c r="G66" s="1637"/>
      <c r="H66" s="352"/>
      <c r="N66" s="1367"/>
      <c r="P66" s="1367"/>
      <c r="Q66" s="1637"/>
      <c r="R66" s="1637"/>
      <c r="S66" s="1367"/>
      <c r="T66" s="1367"/>
      <c r="U66" s="1367"/>
      <c r="V66" s="1367"/>
      <c r="W66" s="1637"/>
      <c r="X66" s="1367"/>
      <c r="Y66" s="1367"/>
      <c r="Z66" s="545"/>
      <c r="AA66" s="1367"/>
      <c r="AB66" s="1367"/>
      <c r="AC66" s="1367"/>
      <c r="AD66" s="1367"/>
      <c r="AE66" s="1367"/>
      <c r="AF66" s="1633"/>
      <c r="AG66" s="623"/>
      <c r="AH66" s="623"/>
      <c r="AI66" s="623"/>
      <c r="AJ66" s="623"/>
      <c r="AK66" s="1642">
        <v>11</v>
      </c>
    </row>
    <row s="1642" customFormat="1" customHeight="1" ht="11.549999999999999">
      <c r="A67" s="988"/>
      <c r="B67" s="988"/>
      <c r="C67" s="988"/>
      <c r="D67" s="988"/>
      <c r="E67" s="988"/>
      <c r="F67" s="1637"/>
      <c r="G67" s="1637"/>
      <c r="H67" s="352"/>
      <c r="N67" s="1367"/>
      <c r="P67" s="1367"/>
      <c r="Q67" s="1637"/>
      <c r="R67" s="1637"/>
      <c r="S67" s="1367"/>
      <c r="T67" s="1367"/>
      <c r="U67" s="1367"/>
      <c r="V67" s="1367"/>
      <c r="W67" s="1637"/>
      <c r="X67" s="1367"/>
      <c r="Y67" s="1367"/>
      <c r="Z67" s="545"/>
      <c r="AA67" s="1367"/>
      <c r="AB67" s="1367"/>
      <c r="AC67" s="1367"/>
      <c r="AD67" s="1367"/>
      <c r="AE67" s="1367"/>
      <c r="AF67" s="1633"/>
      <c r="AG67" s="623"/>
      <c r="AH67" s="623"/>
      <c r="AI67" s="623"/>
      <c r="AJ67" s="623"/>
      <c r="AK67" s="1642">
        <v>11</v>
      </c>
    </row>
    <row s="1642" customFormat="1" customHeight="1" ht="11.549999999999999">
      <c r="A68" s="988"/>
      <c r="B68" s="988"/>
      <c r="C68" s="988"/>
      <c r="D68" s="988"/>
      <c r="E68" s="988"/>
      <c r="F68" s="1637"/>
      <c r="G68" s="1637"/>
      <c r="H68" s="352"/>
      <c r="N68" s="1367"/>
      <c r="P68" s="1367"/>
      <c r="Q68" s="1637"/>
      <c r="R68" s="1637"/>
      <c r="S68" s="1367"/>
      <c r="T68" s="1367"/>
      <c r="U68" s="1367"/>
      <c r="V68" s="1367"/>
      <c r="W68" s="1637"/>
      <c r="X68" s="1367"/>
      <c r="Y68" s="1367"/>
      <c r="Z68" s="545"/>
      <c r="AA68" s="1367"/>
      <c r="AB68" s="1367"/>
      <c r="AC68" s="1367"/>
      <c r="AD68" s="1367"/>
      <c r="AE68" s="1367"/>
      <c r="AF68" s="1633"/>
      <c r="AG68" s="623"/>
      <c r="AH68" s="623"/>
      <c r="AI68" s="623"/>
      <c r="AJ68" s="623"/>
      <c r="AK68" s="1642">
        <v>11</v>
      </c>
    </row>
    <row s="1642" customFormat="1" customHeight="1" ht="11.549999999999999">
      <c r="A69" s="988"/>
      <c r="B69" s="988"/>
      <c r="C69" s="988"/>
      <c r="D69" s="988"/>
      <c r="E69" s="988"/>
      <c r="F69" s="1637"/>
      <c r="G69" s="1637"/>
      <c r="H69" s="352"/>
      <c r="N69" s="1367"/>
      <c r="P69" s="1367"/>
      <c r="Q69" s="1637"/>
      <c r="R69" s="1637"/>
      <c r="S69" s="1367"/>
      <c r="T69" s="1367"/>
      <c r="U69" s="1367"/>
      <c r="V69" s="1367"/>
      <c r="W69" s="1637"/>
      <c r="X69" s="1367"/>
      <c r="Y69" s="1367"/>
      <c r="Z69" s="545"/>
      <c r="AA69" s="1367"/>
      <c r="AB69" s="1367"/>
      <c r="AC69" s="1367"/>
      <c r="AD69" s="1367"/>
      <c r="AE69" s="1367"/>
      <c r="AF69" s="1633"/>
      <c r="AG69" s="623"/>
      <c r="AH69" s="623"/>
      <c r="AI69" s="623"/>
      <c r="AJ69" s="623"/>
      <c r="AK69" s="1642">
        <v>11</v>
      </c>
    </row>
    <row s="1642" customFormat="1" customHeight="1" ht="11.549999999999999">
      <c r="A70" s="988"/>
      <c r="B70" s="988"/>
      <c r="C70" s="988"/>
      <c r="D70" s="988"/>
      <c r="E70" s="988"/>
      <c r="F70" s="1637"/>
      <c r="G70" s="1637"/>
      <c r="H70" s="352"/>
      <c r="N70" s="1367"/>
      <c r="P70" s="1367"/>
      <c r="Q70" s="1637"/>
      <c r="R70" s="1637"/>
      <c r="S70" s="1367"/>
      <c r="T70" s="1367"/>
      <c r="U70" s="1367"/>
      <c r="V70" s="1367"/>
      <c r="W70" s="1637"/>
      <c r="X70" s="1367"/>
      <c r="Y70" s="1367"/>
      <c r="Z70" s="545"/>
      <c r="AA70" s="1367"/>
      <c r="AB70" s="1367"/>
      <c r="AC70" s="1367"/>
      <c r="AD70" s="1367"/>
      <c r="AE70" s="1367"/>
      <c r="AF70" s="1633"/>
      <c r="AG70" s="623"/>
      <c r="AH70" s="623"/>
      <c r="AI70" s="623"/>
      <c r="AJ70" s="623"/>
      <c r="AK70" s="1642">
        <v>11</v>
      </c>
    </row>
    <row s="1642" customFormat="1" customHeight="1" ht="11.549999999999999">
      <c r="A71" s="988"/>
      <c r="B71" s="988"/>
      <c r="C71" s="988"/>
      <c r="D71" s="988"/>
      <c r="E71" s="988"/>
      <c r="F71" s="1637"/>
      <c r="G71" s="1637"/>
      <c r="H71" s="352"/>
      <c r="N71" s="1367"/>
      <c r="P71" s="1367"/>
      <c r="Q71" s="1637"/>
      <c r="R71" s="1637"/>
      <c r="S71" s="1367"/>
      <c r="T71" s="1367"/>
      <c r="U71" s="1367"/>
      <c r="V71" s="1367"/>
      <c r="W71" s="1637"/>
      <c r="X71" s="1367"/>
      <c r="Y71" s="1367"/>
      <c r="Z71" s="545"/>
      <c r="AA71" s="1367"/>
      <c r="AB71" s="1367"/>
      <c r="AC71" s="1367"/>
      <c r="AD71" s="1367"/>
      <c r="AE71" s="1367"/>
      <c r="AF71" s="1633"/>
      <c r="AG71" s="623"/>
      <c r="AH71" s="623"/>
      <c r="AI71" s="623"/>
      <c r="AJ71" s="623"/>
      <c r="AK71" s="1642">
        <v>11</v>
      </c>
    </row>
    <row s="1642" customFormat="1" customHeight="1" ht="11.549999999999999">
      <c r="A72" s="988"/>
      <c r="B72" s="988"/>
      <c r="C72" s="988"/>
      <c r="D72" s="988"/>
      <c r="E72" s="988"/>
      <c r="F72" s="1637"/>
      <c r="G72" s="1637"/>
      <c r="H72" s="352"/>
      <c r="N72" s="1367"/>
      <c r="P72" s="1367"/>
      <c r="Q72" s="1637"/>
      <c r="R72" s="1637"/>
      <c r="S72" s="1367"/>
      <c r="T72" s="1367"/>
      <c r="U72" s="1367"/>
      <c r="V72" s="1367"/>
      <c r="W72" s="1637"/>
      <c r="X72" s="1367"/>
      <c r="Y72" s="1367"/>
      <c r="Z72" s="545"/>
      <c r="AA72" s="1367"/>
      <c r="AB72" s="1367"/>
      <c r="AC72" s="1367"/>
      <c r="AD72" s="1367"/>
      <c r="AE72" s="1367"/>
      <c r="AF72" s="1633"/>
      <c r="AG72" s="623"/>
      <c r="AH72" s="623"/>
      <c r="AI72" s="623"/>
      <c r="AJ72" s="623"/>
      <c r="AK72" s="1642">
        <v>11</v>
      </c>
    </row>
    <row s="1642" customFormat="1" customHeight="1" ht="11.549999999999999">
      <c r="A73" s="988"/>
      <c r="B73" s="988"/>
      <c r="C73" s="988"/>
      <c r="D73" s="988"/>
      <c r="E73" s="988"/>
      <c r="F73" s="1637"/>
      <c r="G73" s="1637"/>
      <c r="H73" s="352"/>
      <c r="N73" s="1367"/>
      <c r="P73" s="1367"/>
      <c r="Q73" s="1637"/>
      <c r="R73" s="1637"/>
      <c r="S73" s="1367"/>
      <c r="T73" s="1367"/>
      <c r="U73" s="1367"/>
      <c r="V73" s="1367"/>
      <c r="W73" s="1637"/>
      <c r="X73" s="1367"/>
      <c r="Y73" s="1367"/>
      <c r="Z73" s="545"/>
      <c r="AA73" s="1367"/>
      <c r="AB73" s="1367"/>
      <c r="AC73" s="1367"/>
      <c r="AD73" s="1367"/>
      <c r="AE73" s="1367"/>
      <c r="AF73" s="1633"/>
      <c r="AG73" s="623"/>
      <c r="AH73" s="623"/>
      <c r="AI73" s="623"/>
      <c r="AJ73" s="623"/>
      <c r="AK73" s="1642">
        <v>11</v>
      </c>
    </row>
    <row s="1642" customFormat="1" customHeight="1" ht="11.549999999999999">
      <c r="A74" s="988"/>
      <c r="B74" s="988"/>
      <c r="C74" s="988"/>
      <c r="D74" s="988"/>
      <c r="E74" s="988"/>
      <c r="F74" s="1637"/>
      <c r="G74" s="1637"/>
      <c r="H74" s="352"/>
      <c r="N74" s="1367"/>
      <c r="P74" s="1367"/>
      <c r="Q74" s="1637"/>
      <c r="R74" s="1637"/>
      <c r="S74" s="1367"/>
      <c r="T74" s="1367"/>
      <c r="U74" s="1367"/>
      <c r="V74" s="1367"/>
      <c r="W74" s="1637"/>
      <c r="X74" s="1367"/>
      <c r="Y74" s="1367"/>
      <c r="Z74" s="545"/>
      <c r="AA74" s="1367"/>
      <c r="AB74" s="1367"/>
      <c r="AC74" s="1367"/>
      <c r="AD74" s="1367"/>
      <c r="AE74" s="1367"/>
      <c r="AF74" s="1633"/>
      <c r="AG74" s="623"/>
      <c r="AH74" s="623"/>
      <c r="AI74" s="623"/>
      <c r="AJ74" s="623"/>
      <c r="AK74" s="1642">
        <v>11</v>
      </c>
    </row>
    <row s="1642" customFormat="1" customHeight="1" ht="11.549999999999999">
      <c r="A75" s="988"/>
      <c r="B75" s="988"/>
      <c r="C75" s="988"/>
      <c r="D75" s="988"/>
      <c r="E75" s="988"/>
      <c r="F75" s="1637"/>
      <c r="G75" s="1637"/>
      <c r="H75" s="352"/>
      <c r="N75" s="1367"/>
      <c r="P75" s="1367"/>
      <c r="Q75" s="1637"/>
      <c r="R75" s="1637"/>
      <c r="S75" s="1367"/>
      <c r="T75" s="1367"/>
      <c r="U75" s="1367"/>
      <c r="V75" s="1367"/>
      <c r="W75" s="1637"/>
      <c r="X75" s="1367"/>
      <c r="Y75" s="1367"/>
      <c r="Z75" s="545"/>
      <c r="AA75" s="1367"/>
      <c r="AB75" s="1367"/>
      <c r="AC75" s="1367"/>
      <c r="AD75" s="1367"/>
      <c r="AE75" s="1367"/>
      <c r="AF75" s="1633"/>
      <c r="AG75" s="623"/>
      <c r="AH75" s="623"/>
      <c r="AI75" s="623"/>
      <c r="AJ75" s="623"/>
      <c r="AK75" s="1642">
        <v>11</v>
      </c>
    </row>
    <row s="1642" customFormat="1" customHeight="1" ht="11.549999999999999">
      <c r="A76" s="988"/>
      <c r="B76" s="988"/>
      <c r="C76" s="988"/>
      <c r="D76" s="988"/>
      <c r="E76" s="988"/>
      <c r="F76" s="1637"/>
      <c r="G76" s="1637"/>
      <c r="H76" s="352"/>
      <c r="N76" s="1367"/>
      <c r="P76" s="1367"/>
      <c r="Q76" s="1637"/>
      <c r="R76" s="1637"/>
      <c r="S76" s="1367"/>
      <c r="T76" s="1367"/>
      <c r="U76" s="1367"/>
      <c r="V76" s="1367"/>
      <c r="W76" s="1637"/>
      <c r="X76" s="1367"/>
      <c r="Y76" s="1367"/>
      <c r="Z76" s="545"/>
      <c r="AA76" s="1367"/>
      <c r="AB76" s="1367"/>
      <c r="AC76" s="1367"/>
      <c r="AD76" s="1367"/>
      <c r="AE76" s="1367"/>
      <c r="AF76" s="1633"/>
      <c r="AG76" s="623"/>
      <c r="AH76" s="623"/>
      <c r="AI76" s="623"/>
      <c r="AJ76" s="623"/>
      <c r="AK76" s="1642">
        <v>11</v>
      </c>
    </row>
    <row s="1642" customFormat="1" customHeight="1" ht="11.549999999999999">
      <c r="A77" s="988"/>
      <c r="B77" s="988"/>
      <c r="C77" s="988"/>
      <c r="D77" s="988"/>
      <c r="E77" s="988"/>
      <c r="F77" s="1637"/>
      <c r="G77" s="1637"/>
      <c r="H77" s="352"/>
      <c r="N77" s="1367"/>
      <c r="P77" s="1367"/>
      <c r="Q77" s="1637"/>
      <c r="R77" s="1637"/>
      <c r="S77" s="1367"/>
      <c r="T77" s="1367"/>
      <c r="U77" s="1367"/>
      <c r="V77" s="1367"/>
      <c r="W77" s="1637"/>
      <c r="X77" s="1367"/>
      <c r="Y77" s="1367"/>
      <c r="Z77" s="545"/>
      <c r="AA77" s="1367"/>
      <c r="AB77" s="1367"/>
      <c r="AC77" s="1367"/>
      <c r="AD77" s="1367"/>
      <c r="AE77" s="1367"/>
      <c r="AF77" s="1633"/>
      <c r="AG77" s="623"/>
      <c r="AH77" s="623"/>
      <c r="AI77" s="623"/>
      <c r="AJ77" s="623"/>
      <c r="AK77" s="1642">
        <v>11</v>
      </c>
    </row>
    <row s="1642" customFormat="1" customHeight="1" ht="11.549999999999999">
      <c r="A78" s="988"/>
      <c r="B78" s="988"/>
      <c r="C78" s="988"/>
      <c r="D78" s="988"/>
      <c r="E78" s="988"/>
      <c r="F78" s="1637"/>
      <c r="G78" s="1637"/>
      <c r="H78" s="352"/>
      <c r="N78" s="1367"/>
      <c r="P78" s="1367"/>
      <c r="Q78" s="1637"/>
      <c r="R78" s="1637"/>
      <c r="S78" s="1367"/>
      <c r="T78" s="1367"/>
      <c r="U78" s="1367"/>
      <c r="V78" s="1367"/>
      <c r="W78" s="1637"/>
      <c r="X78" s="1367"/>
      <c r="Y78" s="1367"/>
      <c r="Z78" s="545"/>
      <c r="AA78" s="1367"/>
      <c r="AB78" s="1367"/>
      <c r="AC78" s="1367"/>
      <c r="AD78" s="1367"/>
      <c r="AE78" s="1367"/>
      <c r="AF78" s="1633"/>
      <c r="AG78" s="623"/>
      <c r="AH78" s="623"/>
      <c r="AI78" s="623"/>
      <c r="AJ78" s="623"/>
      <c r="AK78" s="1642">
        <v>11</v>
      </c>
    </row>
    <row s="1642" customFormat="1" customHeight="1" ht="11.549999999999999">
      <c r="A79" s="988"/>
      <c r="B79" s="988"/>
      <c r="C79" s="988"/>
      <c r="D79" s="988"/>
      <c r="E79" s="988"/>
      <c r="F79" s="1637"/>
      <c r="G79" s="1637"/>
      <c r="H79" s="352"/>
      <c r="N79" s="1367"/>
      <c r="P79" s="1367"/>
      <c r="Q79" s="1637"/>
      <c r="R79" s="1637"/>
      <c r="S79" s="1367"/>
      <c r="T79" s="1367"/>
      <c r="U79" s="1367"/>
      <c r="V79" s="1367"/>
      <c r="W79" s="1637"/>
      <c r="X79" s="1367"/>
      <c r="Y79" s="1367"/>
      <c r="Z79" s="545"/>
      <c r="AA79" s="1367"/>
      <c r="AB79" s="1367"/>
      <c r="AC79" s="1367"/>
      <c r="AD79" s="1367"/>
      <c r="AE79" s="1367"/>
      <c r="AF79" s="1633"/>
      <c r="AG79" s="623"/>
      <c r="AH79" s="623"/>
      <c r="AI79" s="623"/>
      <c r="AJ79" s="623"/>
      <c r="AK79" s="1642">
        <v>11</v>
      </c>
    </row>
    <row s="1642" customFormat="1" customHeight="1" ht="11.549999999999999">
      <c r="A80" s="988"/>
      <c r="B80" s="988"/>
      <c r="C80" s="988"/>
      <c r="D80" s="988"/>
      <c r="E80" s="988"/>
      <c r="F80" s="1637"/>
      <c r="G80" s="1637"/>
      <c r="H80" s="352"/>
      <c r="N80" s="1367"/>
      <c r="P80" s="1367"/>
      <c r="Q80" s="1637"/>
      <c r="R80" s="1637"/>
      <c r="S80" s="1367"/>
      <c r="T80" s="1367"/>
      <c r="U80" s="1367"/>
      <c r="V80" s="1367"/>
      <c r="W80" s="1637"/>
      <c r="X80" s="1367"/>
      <c r="Y80" s="1367"/>
      <c r="Z80" s="545"/>
      <c r="AA80" s="1367"/>
      <c r="AB80" s="1367"/>
      <c r="AC80" s="1367"/>
      <c r="AD80" s="1367"/>
      <c r="AE80" s="1367"/>
      <c r="AF80" s="1633"/>
      <c r="AG80" s="623"/>
      <c r="AH80" s="623"/>
      <c r="AI80" s="623"/>
      <c r="AJ80" s="623"/>
      <c r="AK80" s="1642">
        <v>11</v>
      </c>
    </row>
    <row s="1642" customFormat="1" customHeight="1" ht="11.549999999999999">
      <c r="A81" s="988"/>
      <c r="B81" s="988"/>
      <c r="C81" s="988"/>
      <c r="D81" s="988"/>
      <c r="E81" s="988"/>
      <c r="F81" s="1637"/>
      <c r="G81" s="1637"/>
      <c r="H81" s="352"/>
      <c r="N81" s="1367"/>
      <c r="P81" s="1367"/>
      <c r="Q81" s="1637"/>
      <c r="R81" s="1637"/>
      <c r="S81" s="1367"/>
      <c r="T81" s="1367"/>
      <c r="U81" s="1367"/>
      <c r="V81" s="1367"/>
      <c r="W81" s="1637"/>
      <c r="X81" s="1367"/>
      <c r="Y81" s="1367"/>
      <c r="Z81" s="545"/>
      <c r="AA81" s="1367"/>
      <c r="AB81" s="1367"/>
      <c r="AC81" s="1367"/>
      <c r="AD81" s="1367"/>
      <c r="AE81" s="1367"/>
      <c r="AF81" s="1633"/>
      <c r="AG81" s="623"/>
      <c r="AH81" s="623"/>
      <c r="AI81" s="623"/>
      <c r="AJ81" s="623"/>
      <c r="AK81" s="1642">
        <v>11</v>
      </c>
    </row>
    <row s="1642" customFormat="1" customHeight="1" ht="11.549999999999999">
      <c r="A82" s="988"/>
      <c r="B82" s="988"/>
      <c r="C82" s="988"/>
      <c r="D82" s="988"/>
      <c r="E82" s="988"/>
      <c r="F82" s="1637"/>
      <c r="G82" s="1637"/>
      <c r="H82" s="352"/>
      <c r="N82" s="1367"/>
      <c r="P82" s="1367"/>
      <c r="Q82" s="1637"/>
      <c r="R82" s="1637"/>
      <c r="S82" s="1367"/>
      <c r="T82" s="1367"/>
      <c r="U82" s="1367"/>
      <c r="V82" s="1367"/>
      <c r="W82" s="1637"/>
      <c r="X82" s="1367"/>
      <c r="Y82" s="1367"/>
      <c r="Z82" s="545"/>
      <c r="AA82" s="1367"/>
      <c r="AB82" s="1367"/>
      <c r="AC82" s="1367"/>
      <c r="AD82" s="1367"/>
      <c r="AE82" s="1367"/>
      <c r="AF82" s="1633"/>
      <c r="AG82" s="623"/>
      <c r="AH82" s="623"/>
      <c r="AI82" s="623"/>
      <c r="AJ82" s="623"/>
      <c r="AK82" s="1642">
        <v>11</v>
      </c>
    </row>
    <row s="1642" customFormat="1" customHeight="1" ht="11.549999999999999">
      <c r="A83" s="988"/>
      <c r="B83" s="988"/>
      <c r="C83" s="988"/>
      <c r="D83" s="988"/>
      <c r="E83" s="988"/>
      <c r="F83" s="1637"/>
      <c r="G83" s="1637"/>
      <c r="H83" s="352"/>
      <c r="N83" s="1367"/>
      <c r="P83" s="1367"/>
      <c r="Q83" s="1637"/>
      <c r="R83" s="1637"/>
      <c r="S83" s="1367"/>
      <c r="T83" s="1367"/>
      <c r="U83" s="1367"/>
      <c r="V83" s="1367"/>
      <c r="W83" s="1637"/>
      <c r="X83" s="1367"/>
      <c r="Y83" s="1367"/>
      <c r="Z83" s="545"/>
      <c r="AA83" s="1367"/>
      <c r="AB83" s="1367"/>
      <c r="AC83" s="1367"/>
      <c r="AD83" s="1367"/>
      <c r="AE83" s="1367"/>
      <c r="AF83" s="1633"/>
      <c r="AG83" s="623"/>
      <c r="AH83" s="623"/>
      <c r="AI83" s="623"/>
      <c r="AJ83" s="623"/>
      <c r="AK83" s="1642">
        <v>11</v>
      </c>
    </row>
    <row s="1642" customFormat="1" customHeight="1" ht="11.549999999999999">
      <c r="A84" s="988"/>
      <c r="B84" s="988"/>
      <c r="C84" s="988"/>
      <c r="D84" s="988"/>
      <c r="E84" s="988"/>
      <c r="F84" s="1637"/>
      <c r="G84" s="1637"/>
      <c r="H84" s="352"/>
      <c r="N84" s="1367"/>
      <c r="P84" s="1367"/>
      <c r="Q84" s="1637"/>
      <c r="R84" s="1637"/>
      <c r="S84" s="1367"/>
      <c r="T84" s="1367"/>
      <c r="U84" s="1367"/>
      <c r="V84" s="1367"/>
      <c r="W84" s="1637"/>
      <c r="X84" s="1367"/>
      <c r="Y84" s="1367"/>
      <c r="Z84" s="545"/>
      <c r="AA84" s="1367"/>
      <c r="AB84" s="1367"/>
      <c r="AC84" s="1367"/>
      <c r="AD84" s="1367"/>
      <c r="AE84" s="1367"/>
      <c r="AF84" s="1633"/>
      <c r="AG84" s="623"/>
      <c r="AH84" s="623"/>
      <c r="AI84" s="623"/>
      <c r="AJ84" s="623"/>
      <c r="AK84" s="1642">
        <v>11</v>
      </c>
    </row>
    <row s="1642" customFormat="1" customHeight="1" ht="11.549999999999999">
      <c r="A85" s="988"/>
      <c r="B85" s="988"/>
      <c r="C85" s="988"/>
      <c r="D85" s="988"/>
      <c r="E85" s="988"/>
      <c r="F85" s="1637"/>
      <c r="G85" s="1637"/>
      <c r="H85" s="352"/>
      <c r="N85" s="1367"/>
      <c r="P85" s="1367"/>
      <c r="Q85" s="1637"/>
      <c r="R85" s="1637"/>
      <c r="S85" s="1367"/>
      <c r="T85" s="1367"/>
      <c r="U85" s="1367"/>
      <c r="V85" s="1367"/>
      <c r="W85" s="1637"/>
      <c r="X85" s="1367"/>
      <c r="Y85" s="1367"/>
      <c r="Z85" s="545"/>
      <c r="AA85" s="1367"/>
      <c r="AB85" s="1367"/>
      <c r="AC85" s="1367"/>
      <c r="AD85" s="1367"/>
      <c r="AE85" s="1367"/>
      <c r="AF85" s="1633"/>
      <c r="AG85" s="623"/>
      <c r="AH85" s="623"/>
      <c r="AI85" s="623"/>
      <c r="AJ85" s="623"/>
      <c r="AK85" s="1642">
        <v>11</v>
      </c>
    </row>
    <row s="1642" customFormat="1" customHeight="1" ht="11.549999999999999">
      <c r="A86" s="988"/>
      <c r="B86" s="988"/>
      <c r="C86" s="988"/>
      <c r="D86" s="988"/>
      <c r="E86" s="988"/>
      <c r="F86" s="1637"/>
      <c r="G86" s="1637"/>
      <c r="H86" s="352"/>
      <c r="N86" s="1367"/>
      <c r="P86" s="1367"/>
      <c r="Q86" s="1637"/>
      <c r="R86" s="1637"/>
      <c r="S86" s="1367"/>
      <c r="T86" s="1367"/>
      <c r="U86" s="1367"/>
      <c r="V86" s="1367"/>
      <c r="W86" s="1637"/>
      <c r="X86" s="1367"/>
      <c r="Y86" s="1367"/>
      <c r="Z86" s="545"/>
      <c r="AA86" s="1367"/>
      <c r="AB86" s="1367"/>
      <c r="AC86" s="1367"/>
      <c r="AD86" s="1367"/>
      <c r="AE86" s="1367"/>
      <c r="AF86" s="1633"/>
      <c r="AG86" s="623"/>
      <c r="AH86" s="623"/>
      <c r="AI86" s="623"/>
      <c r="AJ86" s="623"/>
      <c r="AK86" s="1642">
        <v>11</v>
      </c>
    </row>
    <row s="1642" customFormat="1" customHeight="1" ht="11.549999999999999">
      <c r="A87" s="988"/>
      <c r="B87" s="988"/>
      <c r="C87" s="988"/>
      <c r="D87" s="988"/>
      <c r="E87" s="988"/>
      <c r="F87" s="1637"/>
      <c r="G87" s="1637"/>
      <c r="H87" s="352"/>
      <c r="N87" s="1367"/>
      <c r="P87" s="1367"/>
      <c r="Q87" s="1637"/>
      <c r="R87" s="1637"/>
      <c r="S87" s="1367"/>
      <c r="T87" s="1367"/>
      <c r="U87" s="1367"/>
      <c r="V87" s="1367"/>
      <c r="W87" s="1637"/>
      <c r="X87" s="1367"/>
      <c r="Y87" s="1367"/>
      <c r="Z87" s="545"/>
      <c r="AA87" s="1367"/>
      <c r="AB87" s="1367"/>
      <c r="AC87" s="1367"/>
      <c r="AD87" s="1367"/>
      <c r="AE87" s="1367"/>
      <c r="AF87" s="1633"/>
      <c r="AG87" s="623"/>
      <c r="AH87" s="623"/>
      <c r="AI87" s="623"/>
      <c r="AJ87" s="623"/>
      <c r="AK87" s="1642">
        <v>11</v>
      </c>
    </row>
    <row s="1642" customFormat="1" customHeight="1" ht="11.549999999999999">
      <c r="A88" s="988"/>
      <c r="B88" s="988"/>
      <c r="C88" s="988"/>
      <c r="D88" s="988"/>
      <c r="E88" s="988"/>
      <c r="F88" s="1637"/>
      <c r="G88" s="1637"/>
      <c r="H88" s="352"/>
      <c r="N88" s="1367"/>
      <c r="P88" s="1367"/>
      <c r="Q88" s="1637"/>
      <c r="R88" s="1637"/>
      <c r="S88" s="1367"/>
      <c r="T88" s="1367"/>
      <c r="U88" s="1367"/>
      <c r="V88" s="1367"/>
      <c r="W88" s="1637"/>
      <c r="X88" s="1367"/>
      <c r="Y88" s="1367"/>
      <c r="Z88" s="545"/>
      <c r="AA88" s="1367"/>
      <c r="AB88" s="1367"/>
      <c r="AC88" s="1367"/>
      <c r="AD88" s="1367"/>
      <c r="AE88" s="1367"/>
      <c r="AF88" s="1633"/>
      <c r="AG88" s="623"/>
      <c r="AH88" s="623"/>
      <c r="AI88" s="623"/>
      <c r="AJ88" s="623"/>
      <c r="AK88" s="1642">
        <v>11</v>
      </c>
    </row>
    <row s="1642" customFormat="1" customHeight="1" ht="11.549999999999999">
      <c r="A89" s="988"/>
      <c r="B89" s="988"/>
      <c r="C89" s="988"/>
      <c r="D89" s="988"/>
      <c r="E89" s="988"/>
      <c r="F89" s="1637"/>
      <c r="G89" s="1637"/>
      <c r="H89" s="352"/>
      <c r="N89" s="1367"/>
      <c r="P89" s="1367"/>
      <c r="Q89" s="1637"/>
      <c r="R89" s="1637"/>
      <c r="S89" s="1367"/>
      <c r="T89" s="1367"/>
      <c r="U89" s="1367"/>
      <c r="V89" s="1367"/>
      <c r="W89" s="1637"/>
      <c r="X89" s="1367"/>
      <c r="Y89" s="1367"/>
      <c r="Z89" s="545"/>
      <c r="AA89" s="1367"/>
      <c r="AB89" s="1367"/>
      <c r="AC89" s="1367"/>
      <c r="AD89" s="1367"/>
      <c r="AE89" s="1367"/>
      <c r="AF89" s="1633"/>
      <c r="AG89" s="623"/>
      <c r="AH89" s="623"/>
      <c r="AI89" s="623"/>
      <c r="AJ89" s="623"/>
      <c r="AK89" s="1642">
        <v>11</v>
      </c>
    </row>
    <row s="1642" customFormat="1" customHeight="1" ht="11.549999999999999">
      <c r="A90" s="988"/>
      <c r="B90" s="988"/>
      <c r="C90" s="988"/>
      <c r="D90" s="988"/>
      <c r="E90" s="988"/>
      <c r="F90" s="1637"/>
      <c r="G90" s="1637"/>
      <c r="H90" s="352"/>
      <c r="N90" s="1367"/>
      <c r="P90" s="1367"/>
      <c r="Q90" s="1637"/>
      <c r="R90" s="1637"/>
      <c r="S90" s="1367"/>
      <c r="T90" s="1367"/>
      <c r="U90" s="1367"/>
      <c r="V90" s="1367"/>
      <c r="W90" s="1637"/>
      <c r="X90" s="1367"/>
      <c r="Y90" s="1367"/>
      <c r="Z90" s="545"/>
      <c r="AA90" s="1367"/>
      <c r="AB90" s="1367"/>
      <c r="AC90" s="1367"/>
      <c r="AD90" s="1367"/>
      <c r="AE90" s="1367"/>
      <c r="AF90" s="1633"/>
      <c r="AG90" s="623"/>
      <c r="AH90" s="623"/>
      <c r="AI90" s="623"/>
      <c r="AJ90" s="623"/>
      <c r="AK90" s="1642">
        <v>11</v>
      </c>
    </row>
    <row s="1642" customFormat="1" customHeight="1" ht="11.549999999999999">
      <c r="A91" s="988"/>
      <c r="B91" s="988"/>
      <c r="C91" s="988"/>
      <c r="D91" s="988"/>
      <c r="E91" s="988"/>
      <c r="F91" s="1637"/>
      <c r="G91" s="1637"/>
      <c r="H91" s="352"/>
      <c r="N91" s="1367"/>
      <c r="P91" s="1367"/>
      <c r="Q91" s="1637"/>
      <c r="R91" s="1637"/>
      <c r="S91" s="1367"/>
      <c r="T91" s="1367"/>
      <c r="U91" s="1367"/>
      <c r="V91" s="1367"/>
      <c r="W91" s="1637"/>
      <c r="X91" s="1367"/>
      <c r="Y91" s="1367"/>
      <c r="Z91" s="545"/>
      <c r="AA91" s="1367"/>
      <c r="AB91" s="1367"/>
      <c r="AC91" s="1367"/>
      <c r="AD91" s="1367"/>
      <c r="AE91" s="1367"/>
      <c r="AF91" s="1633"/>
      <c r="AG91" s="623"/>
      <c r="AH91" s="623"/>
      <c r="AI91" s="623"/>
      <c r="AJ91" s="623"/>
      <c r="AK91" s="1642">
        <v>11</v>
      </c>
    </row>
    <row s="1642" customFormat="1" customHeight="1" ht="11.549999999999999">
      <c r="A92" s="988"/>
      <c r="B92" s="988"/>
      <c r="C92" s="988"/>
      <c r="D92" s="988"/>
      <c r="E92" s="988"/>
      <c r="F92" s="1637"/>
      <c r="G92" s="1637"/>
      <c r="H92" s="352"/>
      <c r="N92" s="1367"/>
      <c r="P92" s="1367"/>
      <c r="Q92" s="1637"/>
      <c r="R92" s="1637"/>
      <c r="S92" s="1367"/>
      <c r="T92" s="1367"/>
      <c r="U92" s="1367"/>
      <c r="V92" s="1367"/>
      <c r="W92" s="1637"/>
      <c r="X92" s="1367"/>
      <c r="Y92" s="1367"/>
      <c r="Z92" s="545"/>
      <c r="AA92" s="1367"/>
      <c r="AB92" s="1367"/>
      <c r="AC92" s="1367"/>
      <c r="AD92" s="1367"/>
      <c r="AE92" s="1367"/>
      <c r="AF92" s="1633"/>
      <c r="AG92" s="623"/>
      <c r="AH92" s="623"/>
      <c r="AI92" s="623"/>
      <c r="AJ92" s="623"/>
      <c r="AK92" s="1642">
        <v>11</v>
      </c>
    </row>
    <row s="1642" customFormat="1" customHeight="1" ht="11.549999999999999">
      <c r="A93" s="988"/>
      <c r="B93" s="988"/>
      <c r="C93" s="988"/>
      <c r="D93" s="988"/>
      <c r="E93" s="988"/>
      <c r="F93" s="1637"/>
      <c r="G93" s="1637"/>
      <c r="H93" s="352"/>
      <c r="N93" s="1367"/>
      <c r="P93" s="1367"/>
      <c r="Q93" s="1637"/>
      <c r="R93" s="1637"/>
      <c r="S93" s="1367"/>
      <c r="T93" s="1367"/>
      <c r="U93" s="1367"/>
      <c r="V93" s="1367"/>
      <c r="W93" s="1637"/>
      <c r="X93" s="1367"/>
      <c r="Y93" s="1367"/>
      <c r="Z93" s="545"/>
      <c r="AA93" s="1367"/>
      <c r="AB93" s="1367"/>
      <c r="AC93" s="1367"/>
      <c r="AD93" s="1367"/>
      <c r="AE93" s="1367"/>
      <c r="AF93" s="1633"/>
      <c r="AG93" s="623"/>
      <c r="AH93" s="623"/>
      <c r="AI93" s="623"/>
      <c r="AJ93" s="623"/>
      <c r="AK93" s="1642">
        <v>11</v>
      </c>
    </row>
    <row s="1642" customFormat="1" customHeight="1" ht="11.549999999999999">
      <c r="A94" s="988"/>
      <c r="B94" s="988"/>
      <c r="C94" s="988"/>
      <c r="D94" s="988"/>
      <c r="E94" s="988"/>
      <c r="F94" s="1637"/>
      <c r="G94" s="1637"/>
      <c r="H94" s="352"/>
      <c r="N94" s="1367"/>
      <c r="P94" s="1367"/>
      <c r="Q94" s="1637"/>
      <c r="R94" s="1637"/>
      <c r="S94" s="1367"/>
      <c r="T94" s="1367"/>
      <c r="U94" s="1367"/>
      <c r="V94" s="1367"/>
      <c r="W94" s="1637"/>
      <c r="X94" s="1367"/>
      <c r="Y94" s="1367"/>
      <c r="Z94" s="545"/>
      <c r="AA94" s="1367"/>
      <c r="AB94" s="1367"/>
      <c r="AC94" s="1367"/>
      <c r="AD94" s="1367"/>
      <c r="AE94" s="1367"/>
      <c r="AF94" s="1633"/>
      <c r="AG94" s="623"/>
      <c r="AH94" s="623"/>
      <c r="AI94" s="623"/>
      <c r="AJ94" s="623"/>
      <c r="AK94" s="1642">
        <v>11</v>
      </c>
    </row>
    <row s="1642" customFormat="1" customHeight="1" ht="11.549999999999999">
      <c r="A95" s="988"/>
      <c r="B95" s="988"/>
      <c r="C95" s="988"/>
      <c r="D95" s="988"/>
      <c r="E95" s="988"/>
      <c r="F95" s="1637"/>
      <c r="G95" s="1637"/>
      <c r="H95" s="352"/>
      <c r="N95" s="1367"/>
      <c r="P95" s="1367"/>
      <c r="Q95" s="1637"/>
      <c r="R95" s="1637"/>
      <c r="S95" s="1367"/>
      <c r="T95" s="1367"/>
      <c r="U95" s="1367"/>
      <c r="V95" s="1367"/>
      <c r="W95" s="1637"/>
      <c r="X95" s="1367"/>
      <c r="Y95" s="1367"/>
      <c r="Z95" s="545"/>
      <c r="AA95" s="1367"/>
      <c r="AB95" s="1367"/>
      <c r="AC95" s="1367"/>
      <c r="AD95" s="1367"/>
      <c r="AE95" s="1367"/>
      <c r="AF95" s="1633"/>
      <c r="AG95" s="623"/>
      <c r="AH95" s="623"/>
      <c r="AI95" s="623"/>
      <c r="AJ95" s="623"/>
      <c r="AK95" s="1642">
        <v>11</v>
      </c>
    </row>
    <row s="1642" customFormat="1" customHeight="1" ht="11.549999999999999">
      <c r="A96" s="988"/>
      <c r="B96" s="988"/>
      <c r="C96" s="988"/>
      <c r="D96" s="988"/>
      <c r="E96" s="988"/>
      <c r="F96" s="1637"/>
      <c r="G96" s="1637"/>
      <c r="H96" s="352"/>
      <c r="N96" s="1367"/>
      <c r="P96" s="1367"/>
      <c r="Q96" s="1637"/>
      <c r="R96" s="1637"/>
      <c r="S96" s="1367"/>
      <c r="T96" s="1367"/>
      <c r="U96" s="1367"/>
      <c r="V96" s="1367"/>
      <c r="W96" s="1637"/>
      <c r="X96" s="1367"/>
      <c r="Y96" s="1367"/>
      <c r="Z96" s="545"/>
      <c r="AA96" s="1367"/>
      <c r="AB96" s="1367"/>
      <c r="AC96" s="1367"/>
      <c r="AD96" s="1367"/>
      <c r="AE96" s="1367"/>
      <c r="AF96" s="1633"/>
      <c r="AG96" s="623"/>
      <c r="AH96" s="623"/>
      <c r="AI96" s="623"/>
      <c r="AJ96" s="623"/>
      <c r="AK96" s="1642">
        <v>11</v>
      </c>
    </row>
    <row s="1642" customFormat="1" customHeight="1" ht="11.549999999999999">
      <c r="A97" s="988"/>
      <c r="B97" s="988"/>
      <c r="C97" s="988"/>
      <c r="D97" s="988"/>
      <c r="E97" s="988"/>
      <c r="F97" s="1637"/>
      <c r="G97" s="1637"/>
      <c r="H97" s="352"/>
      <c r="N97" s="1367"/>
      <c r="P97" s="1367"/>
      <c r="Q97" s="1637"/>
      <c r="R97" s="1637"/>
      <c r="S97" s="1367"/>
      <c r="T97" s="1367"/>
      <c r="U97" s="1367"/>
      <c r="V97" s="1367"/>
      <c r="W97" s="1637"/>
      <c r="X97" s="1367"/>
      <c r="Y97" s="1367"/>
      <c r="Z97" s="545"/>
      <c r="AA97" s="1367"/>
      <c r="AB97" s="1367"/>
      <c r="AC97" s="1367"/>
      <c r="AD97" s="1367"/>
      <c r="AE97" s="1367"/>
      <c r="AF97" s="1633"/>
      <c r="AG97" s="623"/>
      <c r="AH97" s="623"/>
      <c r="AI97" s="623"/>
      <c r="AJ97" s="623"/>
      <c r="AK97" s="1642">
        <v>11</v>
      </c>
    </row>
    <row s="1642" customFormat="1" customHeight="1" ht="11.549999999999999">
      <c r="A98" s="988"/>
      <c r="B98" s="988"/>
      <c r="C98" s="988"/>
      <c r="D98" s="988"/>
      <c r="E98" s="988"/>
      <c r="F98" s="1637"/>
      <c r="G98" s="1637"/>
      <c r="H98" s="352"/>
      <c r="N98" s="1367"/>
      <c r="P98" s="1367"/>
      <c r="Q98" s="1637"/>
      <c r="R98" s="1637"/>
      <c r="S98" s="1367"/>
      <c r="T98" s="1367"/>
      <c r="U98" s="1367"/>
      <c r="V98" s="1367"/>
      <c r="W98" s="1637"/>
      <c r="X98" s="1367"/>
      <c r="Y98" s="1367"/>
      <c r="Z98" s="545"/>
      <c r="AA98" s="1367"/>
      <c r="AB98" s="1367"/>
      <c r="AC98" s="1367"/>
      <c r="AD98" s="1367"/>
      <c r="AE98" s="1367"/>
      <c r="AF98" s="1633"/>
      <c r="AG98" s="623"/>
      <c r="AH98" s="623"/>
      <c r="AI98" s="623"/>
      <c r="AJ98" s="623"/>
      <c r="AK98" s="1642">
        <v>11</v>
      </c>
    </row>
    <row s="1642" customFormat="1" customHeight="1" ht="11.549999999999999">
      <c r="A99" s="988"/>
      <c r="B99" s="988"/>
      <c r="C99" s="988"/>
      <c r="D99" s="988"/>
      <c r="E99" s="988"/>
      <c r="F99" s="1637"/>
      <c r="G99" s="1637"/>
      <c r="H99" s="352"/>
      <c r="N99" s="1367"/>
      <c r="P99" s="1367"/>
      <c r="Q99" s="1637"/>
      <c r="R99" s="1637"/>
      <c r="S99" s="1367"/>
      <c r="T99" s="1367"/>
      <c r="U99" s="1367"/>
      <c r="V99" s="1367"/>
      <c r="W99" s="1637"/>
      <c r="X99" s="1367"/>
      <c r="Y99" s="1367"/>
      <c r="Z99" s="545"/>
      <c r="AA99" s="1367"/>
      <c r="AB99" s="1367"/>
      <c r="AC99" s="1367"/>
      <c r="AD99" s="1367"/>
      <c r="AE99" s="1367"/>
      <c r="AF99" s="1633"/>
      <c r="AG99" s="623"/>
      <c r="AH99" s="623"/>
      <c r="AI99" s="623"/>
      <c r="AJ99" s="623"/>
      <c r="AK99" s="1642">
        <v>11</v>
      </c>
    </row>
    <row s="1642" customFormat="1" customHeight="1" ht="11.549999999999999">
      <c r="A100" s="988"/>
      <c r="B100" s="988"/>
      <c r="C100" s="988"/>
      <c r="D100" s="988"/>
      <c r="E100" s="988"/>
      <c r="F100" s="1637"/>
      <c r="G100" s="1637"/>
      <c r="H100" s="352"/>
      <c r="N100" s="1367"/>
      <c r="P100" s="1367"/>
      <c r="Q100" s="1637"/>
      <c r="R100" s="1637"/>
      <c r="S100" s="1367"/>
      <c r="T100" s="1367"/>
      <c r="U100" s="1367"/>
      <c r="V100" s="1367"/>
      <c r="W100" s="1637"/>
      <c r="X100" s="1367"/>
      <c r="Y100" s="1367"/>
      <c r="Z100" s="545"/>
      <c r="AA100" s="1367"/>
      <c r="AB100" s="1367"/>
      <c r="AC100" s="1367"/>
      <c r="AD100" s="1367"/>
      <c r="AE100" s="1367"/>
      <c r="AF100" s="1633"/>
      <c r="AG100" s="623"/>
      <c r="AH100" s="623"/>
      <c r="AI100" s="623"/>
      <c r="AJ100" s="623"/>
      <c r="AK100" s="1642">
        <v>11</v>
      </c>
    </row>
    <row s="1642" customFormat="1" customHeight="1" ht="11.549999999999999">
      <c r="A101" s="988"/>
      <c r="B101" s="988"/>
      <c r="C101" s="988"/>
      <c r="D101" s="988"/>
      <c r="E101" s="988"/>
      <c r="F101" s="1637"/>
      <c r="G101" s="1637"/>
      <c r="H101" s="352"/>
      <c r="N101" s="1367"/>
      <c r="P101" s="1367"/>
      <c r="Q101" s="1637"/>
      <c r="R101" s="1637"/>
      <c r="S101" s="1367"/>
      <c r="T101" s="1367"/>
      <c r="U101" s="1367"/>
      <c r="V101" s="1367"/>
      <c r="W101" s="1637"/>
      <c r="X101" s="1367"/>
      <c r="Y101" s="1367"/>
      <c r="Z101" s="545"/>
      <c r="AA101" s="1367"/>
      <c r="AB101" s="1367"/>
      <c r="AC101" s="1367"/>
      <c r="AD101" s="1367"/>
      <c r="AE101" s="1367"/>
      <c r="AF101" s="1633"/>
      <c r="AG101" s="623"/>
      <c r="AH101" s="623"/>
      <c r="AI101" s="623"/>
      <c r="AJ101" s="623"/>
      <c r="AK101" s="1642">
        <v>11</v>
      </c>
    </row>
    <row s="1642" customFormat="1" customHeight="1" ht="11.549999999999999">
      <c r="A102" s="988"/>
      <c r="B102" s="988"/>
      <c r="C102" s="988"/>
      <c r="D102" s="988"/>
      <c r="E102" s="988"/>
      <c r="F102" s="1637"/>
      <c r="G102" s="1637"/>
      <c r="H102" s="352"/>
      <c r="N102" s="1367"/>
      <c r="P102" s="1367"/>
      <c r="Q102" s="1637"/>
      <c r="R102" s="1637"/>
      <c r="S102" s="1367"/>
      <c r="T102" s="1367"/>
      <c r="U102" s="1367"/>
      <c r="V102" s="1367"/>
      <c r="W102" s="1637"/>
      <c r="X102" s="1367"/>
      <c r="Y102" s="1367"/>
      <c r="Z102" s="545"/>
      <c r="AA102" s="1367"/>
      <c r="AB102" s="1367"/>
      <c r="AC102" s="1367"/>
      <c r="AD102" s="1367"/>
      <c r="AE102" s="1367"/>
      <c r="AF102" s="1633"/>
      <c r="AG102" s="623"/>
      <c r="AH102" s="623"/>
      <c r="AI102" s="623"/>
      <c r="AJ102" s="623"/>
      <c r="AK102" s="1642">
        <v>11</v>
      </c>
    </row>
    <row s="1642" customFormat="1" customHeight="1" ht="11.549999999999999">
      <c r="A103" s="988"/>
      <c r="B103" s="988"/>
      <c r="C103" s="988"/>
      <c r="D103" s="988"/>
      <c r="E103" s="988"/>
      <c r="F103" s="1637"/>
      <c r="G103" s="1637"/>
      <c r="H103" s="352"/>
      <c r="N103" s="1367"/>
      <c r="P103" s="1367"/>
      <c r="Q103" s="1637"/>
      <c r="R103" s="1637"/>
      <c r="S103" s="1367"/>
      <c r="T103" s="1367"/>
      <c r="U103" s="1367"/>
      <c r="V103" s="1367"/>
      <c r="W103" s="1637"/>
      <c r="X103" s="1367"/>
      <c r="Y103" s="1367"/>
      <c r="Z103" s="545"/>
      <c r="AA103" s="1367"/>
      <c r="AB103" s="1367"/>
      <c r="AC103" s="1367"/>
      <c r="AD103" s="1367"/>
      <c r="AE103" s="1367"/>
      <c r="AF103" s="1633"/>
      <c r="AG103" s="623"/>
      <c r="AH103" s="623"/>
      <c r="AI103" s="623"/>
      <c r="AJ103" s="623"/>
      <c r="AK103" s="1642">
        <v>11</v>
      </c>
    </row>
    <row s="1642" customFormat="1" customHeight="1" ht="11.549999999999999">
      <c r="A104" s="988"/>
      <c r="B104" s="988"/>
      <c r="C104" s="988"/>
      <c r="D104" s="988"/>
      <c r="E104" s="988"/>
      <c r="F104" s="1637"/>
      <c r="G104" s="1637"/>
      <c r="H104" s="352"/>
      <c r="N104" s="1367"/>
      <c r="P104" s="1367"/>
      <c r="Q104" s="1637"/>
      <c r="R104" s="1637"/>
      <c r="S104" s="1367"/>
      <c r="T104" s="1367"/>
      <c r="U104" s="1367"/>
      <c r="V104" s="1367"/>
      <c r="W104" s="1637"/>
      <c r="X104" s="1367"/>
      <c r="Y104" s="1367"/>
      <c r="Z104" s="545"/>
      <c r="AA104" s="1367"/>
      <c r="AB104" s="1367"/>
      <c r="AC104" s="1367"/>
      <c r="AD104" s="1367"/>
      <c r="AE104" s="1367"/>
      <c r="AF104" s="1633"/>
      <c r="AG104" s="623"/>
      <c r="AH104" s="623"/>
      <c r="AI104" s="623"/>
      <c r="AJ104" s="623"/>
      <c r="AK104" s="1642">
        <v>11</v>
      </c>
    </row>
    <row s="1642" customFormat="1" customHeight="1" ht="11.549999999999999">
      <c r="A105" s="988"/>
      <c r="B105" s="988"/>
      <c r="C105" s="988"/>
      <c r="D105" s="988"/>
      <c r="E105" s="988"/>
      <c r="F105" s="1637"/>
      <c r="G105" s="1637"/>
      <c r="H105" s="352"/>
      <c r="N105" s="1367"/>
      <c r="P105" s="1367"/>
      <c r="Q105" s="1637"/>
      <c r="R105" s="1637"/>
      <c r="S105" s="1367"/>
      <c r="T105" s="1367"/>
      <c r="U105" s="1367"/>
      <c r="V105" s="1367"/>
      <c r="W105" s="1637"/>
      <c r="X105" s="1367"/>
      <c r="Y105" s="1367"/>
      <c r="Z105" s="545"/>
      <c r="AA105" s="1367"/>
      <c r="AB105" s="1367"/>
      <c r="AC105" s="1367"/>
      <c r="AD105" s="1367"/>
      <c r="AE105" s="1367"/>
      <c r="AF105" s="1633"/>
      <c r="AG105" s="623"/>
      <c r="AH105" s="623"/>
      <c r="AI105" s="623"/>
      <c r="AJ105" s="623"/>
      <c r="AK105" s="1642">
        <v>11</v>
      </c>
    </row>
    <row s="1642" customFormat="1" customHeight="1" ht="11.549999999999999">
      <c r="A106" s="988"/>
      <c r="B106" s="988"/>
      <c r="C106" s="988"/>
      <c r="D106" s="988"/>
      <c r="E106" s="988"/>
      <c r="F106" s="1637"/>
      <c r="G106" s="1637"/>
      <c r="H106" s="352"/>
      <c r="N106" s="1367"/>
      <c r="P106" s="1367"/>
      <c r="Q106" s="1637"/>
      <c r="R106" s="1637"/>
      <c r="S106" s="1367"/>
      <c r="T106" s="1367"/>
      <c r="U106" s="1367"/>
      <c r="V106" s="1367"/>
      <c r="W106" s="1637"/>
      <c r="X106" s="1367"/>
      <c r="Y106" s="1367"/>
      <c r="Z106" s="545"/>
      <c r="AA106" s="1367"/>
      <c r="AB106" s="1367"/>
      <c r="AC106" s="1367"/>
      <c r="AD106" s="1367"/>
      <c r="AE106" s="1367"/>
      <c r="AF106" s="1633"/>
      <c r="AG106" s="623"/>
      <c r="AH106" s="623"/>
      <c r="AI106" s="623"/>
      <c r="AJ106" s="623"/>
      <c r="AK106" s="1642">
        <v>11</v>
      </c>
    </row>
    <row s="1642" customFormat="1" customHeight="1" ht="11.549999999999999">
      <c r="A107" s="988"/>
      <c r="B107" s="988"/>
      <c r="C107" s="988"/>
      <c r="D107" s="988"/>
      <c r="E107" s="988"/>
      <c r="F107" s="1637"/>
      <c r="G107" s="1637"/>
      <c r="H107" s="352"/>
      <c r="N107" s="1367"/>
      <c r="P107" s="1367"/>
      <c r="Q107" s="1637"/>
      <c r="R107" s="1637"/>
      <c r="S107" s="1367"/>
      <c r="T107" s="1367"/>
      <c r="U107" s="1367"/>
      <c r="V107" s="1367"/>
      <c r="W107" s="1637"/>
      <c r="X107" s="1367"/>
      <c r="Y107" s="1367"/>
      <c r="Z107" s="545"/>
      <c r="AA107" s="1367"/>
      <c r="AB107" s="1367"/>
      <c r="AC107" s="1367"/>
      <c r="AD107" s="1367"/>
      <c r="AE107" s="1367"/>
      <c r="AF107" s="1633"/>
      <c r="AG107" s="623"/>
      <c r="AH107" s="623"/>
      <c r="AI107" s="623"/>
      <c r="AJ107" s="623"/>
      <c r="AK107" s="1642">
        <v>11</v>
      </c>
    </row>
    <row s="1642" customFormat="1" customHeight="1" ht="11.549999999999999">
      <c r="A108" s="988"/>
      <c r="B108" s="988"/>
      <c r="C108" s="988"/>
      <c r="D108" s="988"/>
      <c r="E108" s="988"/>
      <c r="F108" s="1637"/>
      <c r="G108" s="1637"/>
      <c r="H108" s="352"/>
      <c r="N108" s="1367"/>
      <c r="P108" s="1367"/>
      <c r="Q108" s="1637"/>
      <c r="R108" s="1637"/>
      <c r="S108" s="1367"/>
      <c r="T108" s="1367"/>
      <c r="U108" s="1367"/>
      <c r="V108" s="1367"/>
      <c r="W108" s="1637"/>
      <c r="X108" s="1367"/>
      <c r="Y108" s="1367"/>
      <c r="Z108" s="545"/>
      <c r="AA108" s="1367"/>
      <c r="AB108" s="1367"/>
      <c r="AC108" s="1367"/>
      <c r="AD108" s="1367"/>
      <c r="AE108" s="1367"/>
      <c r="AF108" s="1633"/>
      <c r="AG108" s="623"/>
      <c r="AH108" s="623"/>
      <c r="AI108" s="623"/>
      <c r="AJ108" s="623"/>
      <c r="AK108" s="1642">
        <v>11</v>
      </c>
    </row>
    <row s="1642" customFormat="1" customHeight="1" ht="11.549999999999999">
      <c r="A109" s="988"/>
      <c r="B109" s="988"/>
      <c r="C109" s="988"/>
      <c r="D109" s="988"/>
      <c r="E109" s="988"/>
      <c r="F109" s="1637"/>
      <c r="G109" s="1637"/>
      <c r="H109" s="352"/>
      <c r="N109" s="1367"/>
      <c r="P109" s="1367"/>
      <c r="Q109" s="1637"/>
      <c r="R109" s="1637"/>
      <c r="S109" s="1367"/>
      <c r="T109" s="1367"/>
      <c r="U109" s="1367"/>
      <c r="V109" s="1367"/>
      <c r="W109" s="1637"/>
      <c r="X109" s="1367"/>
      <c r="Y109" s="1367"/>
      <c r="Z109" s="545"/>
      <c r="AA109" s="1367"/>
      <c r="AB109" s="1367"/>
      <c r="AC109" s="1367"/>
      <c r="AD109" s="1367"/>
      <c r="AE109" s="1367"/>
      <c r="AF109" s="1633"/>
      <c r="AG109" s="623"/>
      <c r="AH109" s="623"/>
      <c r="AI109" s="623"/>
      <c r="AJ109" s="623"/>
      <c r="AK109" s="1642">
        <v>11</v>
      </c>
    </row>
    <row s="1642" customFormat="1" customHeight="1" ht="11.549999999999999">
      <c r="A110" s="988"/>
      <c r="B110" s="988"/>
      <c r="C110" s="988"/>
      <c r="D110" s="988"/>
      <c r="E110" s="988"/>
      <c r="F110" s="1637"/>
      <c r="G110" s="1637"/>
      <c r="H110" s="352"/>
      <c r="N110" s="1367"/>
      <c r="P110" s="1367"/>
      <c r="Q110" s="1637"/>
      <c r="R110" s="1637"/>
      <c r="S110" s="1367"/>
      <c r="T110" s="1367"/>
      <c r="U110" s="1367"/>
      <c r="V110" s="1367"/>
      <c r="W110" s="1637"/>
      <c r="X110" s="1367"/>
      <c r="Y110" s="1367"/>
      <c r="Z110" s="545"/>
      <c r="AA110" s="1367"/>
      <c r="AB110" s="1367"/>
      <c r="AC110" s="1367"/>
      <c r="AD110" s="1367"/>
      <c r="AE110" s="1367"/>
      <c r="AF110" s="1633"/>
      <c r="AG110" s="623"/>
      <c r="AH110" s="623"/>
      <c r="AI110" s="623"/>
      <c r="AJ110" s="623"/>
      <c r="AK110" s="1642">
        <v>11</v>
      </c>
    </row>
    <row s="1642" customFormat="1" customHeight="1" ht="11.549999999999999">
      <c r="A111" s="988"/>
      <c r="B111" s="988"/>
      <c r="C111" s="988"/>
      <c r="D111" s="988"/>
      <c r="E111" s="988"/>
      <c r="F111" s="1637"/>
      <c r="G111" s="1637"/>
      <c r="H111" s="352"/>
      <c r="N111" s="1367"/>
      <c r="P111" s="1367"/>
      <c r="Q111" s="1637"/>
      <c r="R111" s="1637"/>
      <c r="S111" s="1367"/>
      <c r="T111" s="1367"/>
      <c r="U111" s="1367"/>
      <c r="V111" s="1367"/>
      <c r="W111" s="1637"/>
      <c r="X111" s="1367"/>
      <c r="Y111" s="1367"/>
      <c r="Z111" s="545"/>
      <c r="AA111" s="1367"/>
      <c r="AB111" s="1367"/>
      <c r="AC111" s="1367"/>
      <c r="AD111" s="1367"/>
      <c r="AE111" s="1367"/>
      <c r="AF111" s="1633"/>
      <c r="AG111" s="623"/>
      <c r="AH111" s="623"/>
      <c r="AI111" s="623"/>
      <c r="AJ111" s="623"/>
      <c r="AK111" s="1642">
        <v>11</v>
      </c>
    </row>
    <row s="1642" customFormat="1" customHeight="1" ht="11.549999999999999">
      <c r="A112" s="988"/>
      <c r="B112" s="988"/>
      <c r="C112" s="988"/>
      <c r="D112" s="988"/>
      <c r="E112" s="988"/>
      <c r="F112" s="1637"/>
      <c r="G112" s="1637"/>
      <c r="H112" s="352"/>
      <c r="N112" s="1367"/>
      <c r="P112" s="1367"/>
      <c r="Q112" s="1637"/>
      <c r="R112" s="1637"/>
      <c r="S112" s="1367"/>
      <c r="T112" s="1367"/>
      <c r="U112" s="1367"/>
      <c r="V112" s="1367"/>
      <c r="W112" s="1637"/>
      <c r="X112" s="1367"/>
      <c r="Y112" s="1367"/>
      <c r="Z112" s="545"/>
      <c r="AA112" s="1367"/>
      <c r="AB112" s="1367"/>
      <c r="AC112" s="1367"/>
      <c r="AD112" s="1367"/>
      <c r="AE112" s="1367"/>
      <c r="AF112" s="1633"/>
      <c r="AG112" s="623"/>
      <c r="AH112" s="623"/>
      <c r="AI112" s="623"/>
      <c r="AJ112" s="623"/>
      <c r="AK112" s="1642">
        <v>11</v>
      </c>
    </row>
    <row s="1642" customFormat="1" customHeight="1" ht="11.549999999999999">
      <c r="A113" s="988"/>
      <c r="B113" s="988"/>
      <c r="C113" s="988"/>
      <c r="D113" s="988"/>
      <c r="E113" s="988"/>
      <c r="F113" s="1637"/>
      <c r="G113" s="1637"/>
      <c r="H113" s="352"/>
      <c r="N113" s="1367"/>
      <c r="P113" s="1367"/>
      <c r="Q113" s="1637"/>
      <c r="R113" s="1637"/>
      <c r="S113" s="1367"/>
      <c r="T113" s="1367"/>
      <c r="U113" s="1367"/>
      <c r="V113" s="1367"/>
      <c r="W113" s="1637"/>
      <c r="X113" s="1367"/>
      <c r="Y113" s="1367"/>
      <c r="Z113" s="545"/>
      <c r="AA113" s="1367"/>
      <c r="AB113" s="1367"/>
      <c r="AC113" s="1367"/>
      <c r="AD113" s="1367"/>
      <c r="AE113" s="1367"/>
      <c r="AF113" s="1633"/>
      <c r="AG113" s="623"/>
      <c r="AH113" s="623"/>
      <c r="AI113" s="623"/>
      <c r="AJ113" s="623"/>
      <c r="AK113" s="1642">
        <v>11</v>
      </c>
    </row>
    <row s="1642" customFormat="1" customHeight="1" ht="11.549999999999999">
      <c r="A114" s="988"/>
      <c r="B114" s="988"/>
      <c r="C114" s="988"/>
      <c r="D114" s="988"/>
      <c r="E114" s="988"/>
      <c r="F114" s="1637"/>
      <c r="G114" s="1637"/>
      <c r="H114" s="352"/>
      <c r="N114" s="1367"/>
      <c r="P114" s="1367"/>
      <c r="Q114" s="1637"/>
      <c r="R114" s="1637"/>
      <c r="S114" s="1367"/>
      <c r="T114" s="1367"/>
      <c r="U114" s="1367"/>
      <c r="V114" s="1367"/>
      <c r="W114" s="1637"/>
      <c r="X114" s="1367"/>
      <c r="Y114" s="1367"/>
      <c r="Z114" s="545"/>
      <c r="AA114" s="1367"/>
      <c r="AB114" s="1367"/>
      <c r="AC114" s="1367"/>
      <c r="AD114" s="1367"/>
      <c r="AE114" s="1367"/>
      <c r="AF114" s="1633"/>
      <c r="AG114" s="623"/>
      <c r="AH114" s="623"/>
      <c r="AI114" s="623"/>
      <c r="AJ114" s="623"/>
      <c r="AK114" s="1642">
        <v>11</v>
      </c>
    </row>
    <row s="1642" customFormat="1" customHeight="1" ht="11.549999999999999">
      <c r="A115" s="988"/>
      <c r="B115" s="988"/>
      <c r="C115" s="988"/>
      <c r="D115" s="988"/>
      <c r="E115" s="988"/>
      <c r="F115" s="1637"/>
      <c r="G115" s="1637"/>
      <c r="H115" s="352"/>
      <c r="N115" s="1367"/>
      <c r="P115" s="1367"/>
      <c r="Q115" s="1637"/>
      <c r="R115" s="1637"/>
      <c r="S115" s="1367"/>
      <c r="T115" s="1367"/>
      <c r="U115" s="1367"/>
      <c r="V115" s="1367"/>
      <c r="W115" s="1637"/>
      <c r="X115" s="1367"/>
      <c r="Y115" s="1367"/>
      <c r="Z115" s="545"/>
      <c r="AA115" s="1367"/>
      <c r="AB115" s="1367"/>
      <c r="AC115" s="1367"/>
      <c r="AD115" s="1367"/>
      <c r="AE115" s="1367"/>
      <c r="AF115" s="1633"/>
      <c r="AG115" s="623"/>
      <c r="AH115" s="623"/>
      <c r="AI115" s="623"/>
      <c r="AJ115" s="623"/>
      <c r="AK115" s="1642">
        <v>11</v>
      </c>
    </row>
    <row s="1642" customFormat="1" customHeight="1" ht="11.549999999999999">
      <c r="A116" s="988"/>
      <c r="B116" s="988"/>
      <c r="C116" s="988"/>
      <c r="D116" s="988"/>
      <c r="E116" s="988"/>
      <c r="F116" s="1637"/>
      <c r="G116" s="1637"/>
      <c r="H116" s="352"/>
      <c r="N116" s="1367"/>
      <c r="P116" s="1367"/>
      <c r="Q116" s="1637"/>
      <c r="R116" s="1637"/>
      <c r="S116" s="1367"/>
      <c r="T116" s="1367"/>
      <c r="U116" s="1367"/>
      <c r="V116" s="1367"/>
      <c r="W116" s="1637"/>
      <c r="X116" s="1367"/>
      <c r="Y116" s="1367"/>
      <c r="Z116" s="545"/>
      <c r="AA116" s="1367"/>
      <c r="AB116" s="1367"/>
      <c r="AC116" s="1367"/>
      <c r="AD116" s="1367"/>
      <c r="AE116" s="1367"/>
      <c r="AF116" s="1633"/>
      <c r="AG116" s="623"/>
      <c r="AH116" s="623"/>
      <c r="AI116" s="623"/>
      <c r="AJ116" s="623"/>
      <c r="AK116" s="1642">
        <v>11</v>
      </c>
    </row>
    <row s="1642" customFormat="1" customHeight="1" ht="11.549999999999999">
      <c r="A117" s="988"/>
      <c r="B117" s="988"/>
      <c r="C117" s="988"/>
      <c r="D117" s="988"/>
      <c r="E117" s="988"/>
      <c r="F117" s="1637"/>
      <c r="G117" s="1637"/>
      <c r="H117" s="352"/>
      <c r="N117" s="1367"/>
      <c r="P117" s="1367"/>
      <c r="Q117" s="1637"/>
      <c r="R117" s="1637"/>
      <c r="S117" s="1367"/>
      <c r="T117" s="1367"/>
      <c r="U117" s="1367"/>
      <c r="V117" s="1367"/>
      <c r="W117" s="1637"/>
      <c r="X117" s="1367"/>
      <c r="Y117" s="1367"/>
      <c r="Z117" s="545"/>
      <c r="AA117" s="1367"/>
      <c r="AB117" s="1367"/>
      <c r="AC117" s="1367"/>
      <c r="AD117" s="1367"/>
      <c r="AE117" s="1367"/>
      <c r="AF117" s="1633"/>
      <c r="AG117" s="623"/>
      <c r="AH117" s="623"/>
      <c r="AI117" s="623"/>
      <c r="AJ117" s="623"/>
      <c r="AK117" s="1642">
        <v>11</v>
      </c>
    </row>
    <row s="1642" customFormat="1" customHeight="1" ht="11.549999999999999">
      <c r="A118" s="988"/>
      <c r="B118" s="988"/>
      <c r="C118" s="988"/>
      <c r="D118" s="988"/>
      <c r="E118" s="988"/>
      <c r="F118" s="1637"/>
      <c r="G118" s="1637"/>
      <c r="H118" s="352"/>
      <c r="N118" s="1367"/>
      <c r="P118" s="1367"/>
      <c r="Q118" s="1637"/>
      <c r="R118" s="1637"/>
      <c r="S118" s="1367"/>
      <c r="T118" s="1367"/>
      <c r="U118" s="1367"/>
      <c r="V118" s="1367"/>
      <c r="W118" s="1637"/>
      <c r="X118" s="1367"/>
      <c r="Y118" s="1367"/>
      <c r="Z118" s="545"/>
      <c r="AA118" s="1367"/>
      <c r="AB118" s="1367"/>
      <c r="AC118" s="1367"/>
      <c r="AD118" s="1367"/>
      <c r="AE118" s="1367"/>
      <c r="AF118" s="1633"/>
      <c r="AG118" s="623"/>
      <c r="AH118" s="623"/>
      <c r="AI118" s="623"/>
      <c r="AJ118" s="623"/>
      <c r="AK118" s="1642">
        <v>11</v>
      </c>
    </row>
    <row s="1642" customFormat="1" customHeight="1" ht="11.549999999999999">
      <c r="A119" s="988"/>
      <c r="B119" s="988"/>
      <c r="C119" s="988"/>
      <c r="D119" s="988"/>
      <c r="E119" s="988"/>
      <c r="F119" s="1637"/>
      <c r="G119" s="1637"/>
      <c r="H119" s="352"/>
      <c r="N119" s="1367"/>
      <c r="P119" s="1367"/>
      <c r="Q119" s="1637"/>
      <c r="R119" s="1637"/>
      <c r="S119" s="1367"/>
      <c r="T119" s="1367"/>
      <c r="U119" s="1367"/>
      <c r="V119" s="1367"/>
      <c r="W119" s="1637"/>
      <c r="X119" s="1367"/>
      <c r="Y119" s="1367"/>
      <c r="Z119" s="545"/>
      <c r="AA119" s="1367"/>
      <c r="AB119" s="1367"/>
      <c r="AC119" s="1367"/>
      <c r="AD119" s="1367"/>
      <c r="AE119" s="1367"/>
      <c r="AF119" s="1633"/>
      <c r="AG119" s="623"/>
      <c r="AH119" s="623"/>
      <c r="AI119" s="623"/>
      <c r="AJ119" s="623"/>
      <c r="AK119" s="1642">
        <v>11</v>
      </c>
    </row>
    <row s="1642" customFormat="1" customHeight="1" ht="11.549999999999999">
      <c r="A120" s="988"/>
      <c r="B120" s="988"/>
      <c r="C120" s="988"/>
      <c r="D120" s="988"/>
      <c r="E120" s="988"/>
      <c r="F120" s="1637"/>
      <c r="G120" s="1637"/>
      <c r="H120" s="352"/>
      <c r="N120" s="1367"/>
      <c r="P120" s="1367"/>
      <c r="Q120" s="1637"/>
      <c r="R120" s="1637"/>
      <c r="S120" s="1367"/>
      <c r="T120" s="1367"/>
      <c r="U120" s="1367"/>
      <c r="V120" s="1367"/>
      <c r="W120" s="1637"/>
      <c r="X120" s="1367"/>
      <c r="Y120" s="1367"/>
      <c r="Z120" s="545"/>
      <c r="AA120" s="1367"/>
      <c r="AB120" s="1367"/>
      <c r="AC120" s="1367"/>
      <c r="AD120" s="1367"/>
      <c r="AE120" s="1367"/>
      <c r="AF120" s="1633"/>
      <c r="AG120" s="623"/>
      <c r="AH120" s="623"/>
      <c r="AI120" s="623"/>
      <c r="AJ120" s="623"/>
      <c r="AK120" s="1642">
        <v>11</v>
      </c>
    </row>
    <row s="1642" customFormat="1" customHeight="1" ht="11.549999999999999">
      <c r="A121" s="988"/>
      <c r="B121" s="988"/>
      <c r="C121" s="988"/>
      <c r="D121" s="988"/>
      <c r="E121" s="988"/>
      <c r="F121" s="1637"/>
      <c r="G121" s="1637"/>
      <c r="H121" s="352"/>
      <c r="N121" s="1367"/>
      <c r="P121" s="1367"/>
      <c r="Q121" s="1637"/>
      <c r="R121" s="1637"/>
      <c r="S121" s="1367"/>
      <c r="T121" s="1367"/>
      <c r="U121" s="1367"/>
      <c r="V121" s="1367"/>
      <c r="W121" s="1637"/>
      <c r="X121" s="1367"/>
      <c r="Y121" s="1367"/>
      <c r="Z121" s="545"/>
      <c r="AA121" s="1367"/>
      <c r="AB121" s="1367"/>
      <c r="AC121" s="1367"/>
      <c r="AD121" s="1367"/>
      <c r="AE121" s="1367"/>
      <c r="AF121" s="1633"/>
      <c r="AG121" s="623"/>
      <c r="AH121" s="623"/>
      <c r="AI121" s="623"/>
      <c r="AJ121" s="623"/>
      <c r="AK121" s="1642">
        <v>11</v>
      </c>
    </row>
    <row s="1642" customFormat="1" customHeight="1" ht="11.549999999999999">
      <c r="A122" s="988"/>
      <c r="B122" s="988"/>
      <c r="C122" s="988"/>
      <c r="D122" s="988"/>
      <c r="E122" s="988"/>
      <c r="F122" s="1637"/>
      <c r="G122" s="1637"/>
      <c r="H122" s="352"/>
      <c r="N122" s="1367"/>
      <c r="P122" s="1367"/>
      <c r="Q122" s="1637"/>
      <c r="R122" s="1637"/>
      <c r="S122" s="1367"/>
      <c r="T122" s="1367"/>
      <c r="U122" s="1367"/>
      <c r="V122" s="1367"/>
      <c r="W122" s="1637"/>
      <c r="X122" s="1367"/>
      <c r="Y122" s="1367"/>
      <c r="Z122" s="545"/>
      <c r="AA122" s="1367"/>
      <c r="AB122" s="1367"/>
      <c r="AC122" s="1367"/>
      <c r="AD122" s="1367"/>
      <c r="AE122" s="1367"/>
      <c r="AF122" s="1633"/>
      <c r="AG122" s="623"/>
      <c r="AH122" s="623"/>
      <c r="AI122" s="623"/>
      <c r="AJ122" s="623"/>
      <c r="AK122" s="1642">
        <v>11</v>
      </c>
    </row>
    <row s="1642" customFormat="1" customHeight="1" ht="11.549999999999999">
      <c r="A123" s="988"/>
      <c r="B123" s="988"/>
      <c r="C123" s="988"/>
      <c r="D123" s="988"/>
      <c r="E123" s="988"/>
      <c r="F123" s="1637"/>
      <c r="G123" s="1637"/>
      <c r="H123" s="352"/>
      <c r="N123" s="1367"/>
      <c r="P123" s="1367"/>
      <c r="Q123" s="1637"/>
      <c r="R123" s="1637"/>
      <c r="S123" s="1367"/>
      <c r="T123" s="1367"/>
      <c r="U123" s="1367"/>
      <c r="V123" s="1367"/>
      <c r="W123" s="1637"/>
      <c r="X123" s="1367"/>
      <c r="Y123" s="1367"/>
      <c r="Z123" s="545"/>
      <c r="AA123" s="1367"/>
      <c r="AB123" s="1367"/>
      <c r="AC123" s="1367"/>
      <c r="AD123" s="1367"/>
      <c r="AE123" s="1367"/>
      <c r="AF123" s="1633"/>
      <c r="AG123" s="623"/>
      <c r="AH123" s="623"/>
      <c r="AI123" s="623"/>
      <c r="AJ123" s="623"/>
      <c r="AK123" s="1642">
        <v>11</v>
      </c>
    </row>
    <row s="1642" customFormat="1" customHeight="1" ht="11.549999999999999">
      <c r="A124" s="988"/>
      <c r="B124" s="988"/>
      <c r="C124" s="988"/>
      <c r="D124" s="988"/>
      <c r="E124" s="988"/>
      <c r="F124" s="1637"/>
      <c r="G124" s="1637"/>
      <c r="H124" s="352"/>
      <c r="N124" s="1367"/>
      <c r="P124" s="1367"/>
      <c r="Q124" s="1637"/>
      <c r="R124" s="1637"/>
      <c r="S124" s="1367"/>
      <c r="T124" s="1367"/>
      <c r="U124" s="1367"/>
      <c r="V124" s="1367"/>
      <c r="W124" s="1637"/>
      <c r="X124" s="1367"/>
      <c r="Y124" s="1367"/>
      <c r="Z124" s="545"/>
      <c r="AA124" s="1367"/>
      <c r="AB124" s="1367"/>
      <c r="AC124" s="1367"/>
      <c r="AD124" s="1367"/>
      <c r="AE124" s="1367"/>
      <c r="AF124" s="1633"/>
      <c r="AG124" s="623"/>
      <c r="AH124" s="623"/>
      <c r="AI124" s="623"/>
      <c r="AJ124" s="623"/>
      <c r="AK124" s="1642">
        <v>11</v>
      </c>
    </row>
    <row s="1642" customFormat="1" customHeight="1" ht="11.549999999999999">
      <c r="A125" s="988"/>
      <c r="B125" s="988"/>
      <c r="C125" s="988"/>
      <c r="D125" s="988"/>
      <c r="E125" s="988"/>
      <c r="F125" s="1637"/>
      <c r="G125" s="1637"/>
      <c r="H125" s="352"/>
      <c r="N125" s="1367"/>
      <c r="P125" s="1367"/>
      <c r="Q125" s="1637"/>
      <c r="R125" s="1637"/>
      <c r="S125" s="1367"/>
      <c r="T125" s="1367"/>
      <c r="U125" s="1367"/>
      <c r="V125" s="1367"/>
      <c r="W125" s="1637"/>
      <c r="X125" s="1367"/>
      <c r="Y125" s="1367"/>
      <c r="Z125" s="545"/>
      <c r="AA125" s="1367"/>
      <c r="AB125" s="1367"/>
      <c r="AC125" s="1367"/>
      <c r="AD125" s="1367"/>
      <c r="AE125" s="1367"/>
      <c r="AF125" s="1633"/>
      <c r="AG125" s="623"/>
      <c r="AH125" s="623"/>
      <c r="AI125" s="623"/>
      <c r="AJ125" s="623"/>
      <c r="AK125" s="1642">
        <v>11</v>
      </c>
    </row>
    <row s="1642" customFormat="1" customHeight="1" ht="11.549999999999999">
      <c r="A126" s="988"/>
      <c r="B126" s="988"/>
      <c r="C126" s="988"/>
      <c r="D126" s="988"/>
      <c r="E126" s="988"/>
      <c r="F126" s="1637"/>
      <c r="G126" s="1637"/>
      <c r="H126" s="352"/>
      <c r="N126" s="1367"/>
      <c r="P126" s="1367"/>
      <c r="Q126" s="1637"/>
      <c r="R126" s="1637"/>
      <c r="S126" s="1367"/>
      <c r="T126" s="1367"/>
      <c r="U126" s="1367"/>
      <c r="V126" s="1367"/>
      <c r="W126" s="1637"/>
      <c r="X126" s="1367"/>
      <c r="Y126" s="1367"/>
      <c r="Z126" s="545"/>
      <c r="AA126" s="1367"/>
      <c r="AB126" s="1367"/>
      <c r="AC126" s="1367"/>
      <c r="AD126" s="1367"/>
      <c r="AE126" s="1367"/>
      <c r="AF126" s="1633"/>
      <c r="AG126" s="623"/>
      <c r="AH126" s="623"/>
      <c r="AI126" s="623"/>
      <c r="AJ126" s="623"/>
      <c r="AK126" s="1642">
        <v>11</v>
      </c>
    </row>
    <row s="1642" customFormat="1" customHeight="1" ht="11.549999999999999">
      <c r="A127" s="988"/>
      <c r="B127" s="988"/>
      <c r="C127" s="988"/>
      <c r="D127" s="988"/>
      <c r="E127" s="988"/>
      <c r="F127" s="1637"/>
      <c r="G127" s="1637"/>
      <c r="H127" s="352"/>
      <c r="N127" s="1367"/>
      <c r="P127" s="1367"/>
      <c r="Q127" s="1637"/>
      <c r="R127" s="1637"/>
      <c r="S127" s="1367"/>
      <c r="T127" s="1367"/>
      <c r="U127" s="1367"/>
      <c r="V127" s="1367"/>
      <c r="W127" s="1637"/>
      <c r="X127" s="1367"/>
      <c r="Y127" s="1367"/>
      <c r="Z127" s="545"/>
      <c r="AA127" s="1367"/>
      <c r="AB127" s="1367"/>
      <c r="AC127" s="1367"/>
      <c r="AD127" s="1367"/>
      <c r="AE127" s="1367"/>
      <c r="AF127" s="1633"/>
      <c r="AG127" s="623"/>
      <c r="AH127" s="623"/>
      <c r="AI127" s="623"/>
      <c r="AJ127" s="623"/>
      <c r="AK127" s="1642">
        <v>11</v>
      </c>
    </row>
    <row s="1642" customFormat="1" customHeight="1" ht="11.549999999999999">
      <c r="A128" s="988"/>
      <c r="B128" s="988"/>
      <c r="C128" s="988"/>
      <c r="D128" s="988"/>
      <c r="E128" s="988"/>
      <c r="F128" s="1637"/>
      <c r="G128" s="1637"/>
      <c r="H128" s="352"/>
      <c r="N128" s="1367"/>
      <c r="P128" s="1367"/>
      <c r="Q128" s="1637"/>
      <c r="R128" s="1637"/>
      <c r="S128" s="1367"/>
      <c r="T128" s="1367"/>
      <c r="U128" s="1367"/>
      <c r="V128" s="1367"/>
      <c r="W128" s="1637"/>
      <c r="X128" s="1367"/>
      <c r="Y128" s="1367"/>
      <c r="Z128" s="545"/>
      <c r="AA128" s="1367"/>
      <c r="AB128" s="1367"/>
      <c r="AC128" s="1367"/>
      <c r="AD128" s="1367"/>
      <c r="AE128" s="1367"/>
      <c r="AF128" s="1633"/>
      <c r="AG128" s="623"/>
      <c r="AH128" s="623"/>
      <c r="AI128" s="623"/>
      <c r="AJ128" s="623"/>
      <c r="AK128" s="1642">
        <v>11</v>
      </c>
    </row>
    <row s="1642" customFormat="1" customHeight="1" ht="11.549999999999999">
      <c r="A129" s="988"/>
      <c r="B129" s="988"/>
      <c r="C129" s="988"/>
      <c r="D129" s="988"/>
      <c r="E129" s="988"/>
      <c r="F129" s="1637"/>
      <c r="G129" s="1637"/>
      <c r="H129" s="352"/>
      <c r="N129" s="1367"/>
      <c r="P129" s="1367"/>
      <c r="Q129" s="1637"/>
      <c r="R129" s="1637"/>
      <c r="S129" s="1367"/>
      <c r="T129" s="1367"/>
      <c r="U129" s="1367"/>
      <c r="V129" s="1367"/>
      <c r="W129" s="1637"/>
      <c r="X129" s="1367"/>
      <c r="Y129" s="1367"/>
      <c r="Z129" s="545"/>
      <c r="AA129" s="1367"/>
      <c r="AB129" s="1367"/>
      <c r="AC129" s="1367"/>
      <c r="AD129" s="1367"/>
      <c r="AE129" s="1367"/>
      <c r="AF129" s="1633"/>
      <c r="AG129" s="623"/>
      <c r="AH129" s="623"/>
      <c r="AI129" s="623"/>
      <c r="AJ129" s="623"/>
      <c r="AK129" s="1642">
        <v>11</v>
      </c>
    </row>
    <row s="1642" customFormat="1" customHeight="1" ht="11.549999999999999">
      <c r="A130" s="988"/>
      <c r="B130" s="988"/>
      <c r="C130" s="988"/>
      <c r="D130" s="988"/>
      <c r="E130" s="988"/>
      <c r="F130" s="1637"/>
      <c r="G130" s="1637"/>
      <c r="H130" s="352"/>
      <c r="N130" s="1367"/>
      <c r="P130" s="1367"/>
      <c r="Q130" s="1637"/>
      <c r="R130" s="1637"/>
      <c r="S130" s="1367"/>
      <c r="T130" s="1367"/>
      <c r="U130" s="1367"/>
      <c r="V130" s="1367"/>
      <c r="W130" s="1637"/>
      <c r="X130" s="1367"/>
      <c r="Y130" s="1367"/>
      <c r="Z130" s="545"/>
      <c r="AA130" s="1367"/>
      <c r="AB130" s="1367"/>
      <c r="AC130" s="1367"/>
      <c r="AD130" s="1367"/>
      <c r="AE130" s="1367"/>
      <c r="AF130" s="1633"/>
      <c r="AG130" s="623"/>
      <c r="AH130" s="623"/>
      <c r="AI130" s="623"/>
      <c r="AJ130" s="623"/>
      <c r="AK130" s="1642">
        <v>11</v>
      </c>
    </row>
    <row s="1642" customFormat="1" customHeight="1" ht="11.549999999999999">
      <c r="A131" s="988"/>
      <c r="B131" s="988"/>
      <c r="C131" s="988"/>
      <c r="D131" s="988"/>
      <c r="E131" s="988"/>
      <c r="F131" s="1637"/>
      <c r="G131" s="1637"/>
      <c r="H131" s="352"/>
      <c r="N131" s="1367"/>
      <c r="P131" s="1367"/>
      <c r="Q131" s="1637"/>
      <c r="R131" s="1637"/>
      <c r="S131" s="1367"/>
      <c r="T131" s="1367"/>
      <c r="U131" s="1367"/>
      <c r="V131" s="1367"/>
      <c r="W131" s="1637"/>
      <c r="X131" s="1367"/>
      <c r="Y131" s="1367"/>
      <c r="Z131" s="545"/>
      <c r="AA131" s="1367"/>
      <c r="AB131" s="1367"/>
      <c r="AC131" s="1367"/>
      <c r="AD131" s="1367"/>
      <c r="AE131" s="1367"/>
      <c r="AF131" s="1633"/>
      <c r="AG131" s="623"/>
      <c r="AH131" s="623"/>
      <c r="AI131" s="623"/>
      <c r="AJ131" s="623"/>
      <c r="AK131" s="1642">
        <v>11</v>
      </c>
    </row>
    <row s="1642" customFormat="1" customHeight="1" ht="11.549999999999999">
      <c r="A132" s="988"/>
      <c r="B132" s="988"/>
      <c r="C132" s="988"/>
      <c r="D132" s="988"/>
      <c r="E132" s="988"/>
      <c r="F132" s="1637"/>
      <c r="G132" s="1637"/>
      <c r="H132" s="352"/>
      <c r="N132" s="1367"/>
      <c r="P132" s="1367"/>
      <c r="Q132" s="1637"/>
      <c r="R132" s="1637"/>
      <c r="S132" s="1367"/>
      <c r="T132" s="1367"/>
      <c r="U132" s="1367"/>
      <c r="V132" s="1367"/>
      <c r="W132" s="1637"/>
      <c r="X132" s="1367"/>
      <c r="Y132" s="1367"/>
      <c r="Z132" s="545"/>
      <c r="AA132" s="1367"/>
      <c r="AB132" s="1367"/>
      <c r="AC132" s="1367"/>
      <c r="AD132" s="1367"/>
      <c r="AE132" s="1367"/>
      <c r="AF132" s="1633"/>
      <c r="AG132" s="623"/>
      <c r="AH132" s="623"/>
      <c r="AI132" s="623"/>
      <c r="AJ132" s="623"/>
      <c r="AK132" s="1642">
        <v>11</v>
      </c>
    </row>
    <row s="1642" customFormat="1" customHeight="1" ht="11.549999999999999">
      <c r="A133" s="988"/>
      <c r="B133" s="988"/>
      <c r="C133" s="988"/>
      <c r="D133" s="988"/>
      <c r="E133" s="988"/>
      <c r="F133" s="1637"/>
      <c r="G133" s="1637"/>
      <c r="H133" s="352"/>
      <c r="N133" s="1367"/>
      <c r="P133" s="1367"/>
      <c r="Q133" s="1637"/>
      <c r="R133" s="1637"/>
      <c r="S133" s="1367"/>
      <c r="T133" s="1367"/>
      <c r="U133" s="1367"/>
      <c r="V133" s="1367"/>
      <c r="W133" s="1637"/>
      <c r="X133" s="1367"/>
      <c r="Y133" s="1367"/>
      <c r="Z133" s="545"/>
      <c r="AA133" s="1367"/>
      <c r="AB133" s="1367"/>
      <c r="AC133" s="1367"/>
      <c r="AD133" s="1367"/>
      <c r="AE133" s="1367"/>
      <c r="AF133" s="1633"/>
      <c r="AG133" s="623"/>
      <c r="AH133" s="623"/>
      <c r="AI133" s="623"/>
      <c r="AJ133" s="623"/>
      <c r="AK133" s="1642">
        <v>11</v>
      </c>
    </row>
    <row s="1642" customFormat="1" customHeight="1" ht="11.549999999999999">
      <c r="A134" s="988"/>
      <c r="B134" s="988"/>
      <c r="C134" s="988"/>
      <c r="D134" s="988"/>
      <c r="E134" s="988"/>
      <c r="F134" s="1637"/>
      <c r="G134" s="1637"/>
      <c r="H134" s="352"/>
      <c r="N134" s="1367"/>
      <c r="P134" s="1367"/>
      <c r="Q134" s="1637"/>
      <c r="R134" s="1637"/>
      <c r="S134" s="1367"/>
      <c r="T134" s="1367"/>
      <c r="U134" s="1367"/>
      <c r="V134" s="1367"/>
      <c r="W134" s="1637"/>
      <c r="X134" s="1367"/>
      <c r="Y134" s="1367"/>
      <c r="Z134" s="545"/>
      <c r="AA134" s="1367"/>
      <c r="AB134" s="1367"/>
      <c r="AC134" s="1367"/>
      <c r="AD134" s="1367"/>
      <c r="AE134" s="1367"/>
      <c r="AF134" s="1633"/>
      <c r="AG134" s="623"/>
      <c r="AH134" s="623"/>
      <c r="AI134" s="623"/>
      <c r="AJ134" s="623"/>
      <c r="AK134" s="1642">
        <v>11</v>
      </c>
    </row>
    <row s="1642" customFormat="1" customHeight="1" ht="11.549999999999999">
      <c r="A135" s="988"/>
      <c r="B135" s="988"/>
      <c r="C135" s="988"/>
      <c r="D135" s="988"/>
      <c r="E135" s="988"/>
      <c r="F135" s="1637"/>
      <c r="G135" s="1637"/>
      <c r="H135" s="352"/>
      <c r="N135" s="1367"/>
      <c r="P135" s="1367"/>
      <c r="Q135" s="1637"/>
      <c r="R135" s="1637"/>
      <c r="S135" s="1367"/>
      <c r="T135" s="1367"/>
      <c r="U135" s="1367"/>
      <c r="V135" s="1367"/>
      <c r="W135" s="1637"/>
      <c r="X135" s="1367"/>
      <c r="Y135" s="1367"/>
      <c r="Z135" s="545"/>
      <c r="AA135" s="1367"/>
      <c r="AB135" s="1367"/>
      <c r="AC135" s="1367"/>
      <c r="AD135" s="1367"/>
      <c r="AE135" s="1367"/>
      <c r="AF135" s="1633"/>
      <c r="AG135" s="623"/>
      <c r="AH135" s="623"/>
      <c r="AI135" s="623"/>
      <c r="AJ135" s="623"/>
      <c r="AK135" s="1642">
        <v>11</v>
      </c>
    </row>
    <row s="1642" customFormat="1" customHeight="1" ht="11.549999999999999">
      <c r="A136" s="988"/>
      <c r="B136" s="988"/>
      <c r="C136" s="988"/>
      <c r="D136" s="988"/>
      <c r="E136" s="988"/>
      <c r="F136" s="1637"/>
      <c r="G136" s="1637"/>
      <c r="H136" s="352"/>
      <c r="N136" s="1367"/>
      <c r="P136" s="1367"/>
      <c r="Q136" s="1637"/>
      <c r="R136" s="1637"/>
      <c r="S136" s="1367"/>
      <c r="T136" s="1367"/>
      <c r="U136" s="1367"/>
      <c r="V136" s="1367"/>
      <c r="W136" s="1637"/>
      <c r="X136" s="1367"/>
      <c r="Y136" s="1367"/>
      <c r="Z136" s="545"/>
      <c r="AA136" s="1367"/>
      <c r="AB136" s="1367"/>
      <c r="AC136" s="1367"/>
      <c r="AD136" s="1367"/>
      <c r="AE136" s="1367"/>
      <c r="AF136" s="1633"/>
      <c r="AG136" s="623"/>
      <c r="AH136" s="623"/>
      <c r="AI136" s="623"/>
      <c r="AJ136" s="623"/>
      <c r="AK136" s="1642">
        <v>11</v>
      </c>
    </row>
    <row s="1642" customFormat="1" customHeight="1" ht="11.549999999999999">
      <c r="A137" s="988"/>
      <c r="B137" s="988"/>
      <c r="C137" s="988"/>
      <c r="D137" s="988"/>
      <c r="E137" s="988"/>
      <c r="F137" s="1637"/>
      <c r="G137" s="1637"/>
      <c r="H137" s="352"/>
      <c r="N137" s="1367"/>
      <c r="P137" s="1367"/>
      <c r="Q137" s="1637"/>
      <c r="R137" s="1637"/>
      <c r="S137" s="1367"/>
      <c r="T137" s="1367"/>
      <c r="U137" s="1367"/>
      <c r="V137" s="1367"/>
      <c r="W137" s="1637"/>
      <c r="X137" s="1367"/>
      <c r="Y137" s="1367"/>
      <c r="Z137" s="545"/>
      <c r="AA137" s="1367"/>
      <c r="AB137" s="1367"/>
      <c r="AC137" s="1367"/>
      <c r="AD137" s="1367"/>
      <c r="AE137" s="1367"/>
      <c r="AF137" s="1633"/>
      <c r="AG137" s="623"/>
      <c r="AH137" s="623"/>
      <c r="AI137" s="623"/>
      <c r="AJ137" s="623"/>
      <c r="AK137" s="1642">
        <v>11</v>
      </c>
    </row>
    <row s="1642" customFormat="1" customHeight="1" ht="11.549999999999999">
      <c r="A138" s="988"/>
      <c r="B138" s="988"/>
      <c r="C138" s="988"/>
      <c r="D138" s="988"/>
      <c r="E138" s="988"/>
      <c r="F138" s="1637"/>
      <c r="G138" s="1637"/>
      <c r="H138" s="352"/>
      <c r="N138" s="1367"/>
      <c r="P138" s="1367"/>
      <c r="Q138" s="1637"/>
      <c r="R138" s="1637"/>
      <c r="S138" s="1367"/>
      <c r="T138" s="1367"/>
      <c r="U138" s="1367"/>
      <c r="V138" s="1367"/>
      <c r="W138" s="1637"/>
      <c r="X138" s="1367"/>
      <c r="Y138" s="1367"/>
      <c r="Z138" s="545"/>
      <c r="AA138" s="1367"/>
      <c r="AB138" s="1367"/>
      <c r="AC138" s="1367"/>
      <c r="AD138" s="1367"/>
      <c r="AE138" s="1367"/>
      <c r="AF138" s="1633"/>
      <c r="AG138" s="623"/>
      <c r="AH138" s="623"/>
      <c r="AI138" s="623"/>
      <c r="AJ138" s="623"/>
      <c r="AK138" s="1642">
        <v>11</v>
      </c>
    </row>
    <row s="1642" customFormat="1" customHeight="1" ht="11.549999999999999">
      <c r="A139" s="988"/>
      <c r="B139" s="988"/>
      <c r="C139" s="988"/>
      <c r="D139" s="988"/>
      <c r="E139" s="988"/>
      <c r="F139" s="1637"/>
      <c r="G139" s="1637"/>
      <c r="H139" s="352"/>
      <c r="N139" s="1367"/>
      <c r="P139" s="1367"/>
      <c r="Q139" s="1637"/>
      <c r="R139" s="1637"/>
      <c r="S139" s="1367"/>
      <c r="T139" s="1367"/>
      <c r="U139" s="1367"/>
      <c r="V139" s="1367"/>
      <c r="W139" s="1637"/>
      <c r="X139" s="1367"/>
      <c r="Y139" s="1367"/>
      <c r="Z139" s="545"/>
      <c r="AA139" s="1367"/>
      <c r="AB139" s="1367"/>
      <c r="AC139" s="1367"/>
      <c r="AD139" s="1367"/>
      <c r="AE139" s="1367"/>
      <c r="AF139" s="1633"/>
      <c r="AG139" s="623"/>
      <c r="AH139" s="623"/>
      <c r="AI139" s="623"/>
      <c r="AJ139" s="623"/>
      <c r="AK139" s="1642">
        <v>11</v>
      </c>
    </row>
    <row s="1642" customFormat="1" customHeight="1" ht="11.549999999999999">
      <c r="A140" s="988"/>
      <c r="B140" s="988"/>
      <c r="C140" s="988"/>
      <c r="D140" s="988"/>
      <c r="E140" s="988"/>
      <c r="F140" s="1637"/>
      <c r="G140" s="1637"/>
      <c r="H140" s="352"/>
      <c r="N140" s="1367"/>
      <c r="P140" s="1367"/>
      <c r="Q140" s="1637"/>
      <c r="R140" s="1637"/>
      <c r="S140" s="1367"/>
      <c r="T140" s="1367"/>
      <c r="U140" s="1367"/>
      <c r="V140" s="1367"/>
      <c r="W140" s="1637"/>
      <c r="X140" s="1367"/>
      <c r="Y140" s="1367"/>
      <c r="Z140" s="545"/>
      <c r="AA140" s="1367"/>
      <c r="AB140" s="1367"/>
      <c r="AC140" s="1367"/>
      <c r="AD140" s="1367"/>
      <c r="AE140" s="1367"/>
      <c r="AF140" s="1633"/>
      <c r="AG140" s="623"/>
      <c r="AH140" s="623"/>
      <c r="AI140" s="623"/>
      <c r="AJ140" s="623"/>
      <c r="AK140" s="1642">
        <v>11</v>
      </c>
    </row>
    <row s="1642" customFormat="1" customHeight="1" ht="11.549999999999999">
      <c r="A141" s="988"/>
      <c r="B141" s="988"/>
      <c r="C141" s="988"/>
      <c r="D141" s="988"/>
      <c r="E141" s="988"/>
      <c r="F141" s="1637"/>
      <c r="G141" s="1637"/>
      <c r="H141" s="352"/>
      <c r="N141" s="1367"/>
      <c r="P141" s="1367"/>
      <c r="Q141" s="1637"/>
      <c r="R141" s="1637"/>
      <c r="S141" s="1367"/>
      <c r="T141" s="1367"/>
      <c r="U141" s="1367"/>
      <c r="V141" s="1367"/>
      <c r="W141" s="1637"/>
      <c r="X141" s="1367"/>
      <c r="Y141" s="1367"/>
      <c r="Z141" s="545"/>
      <c r="AA141" s="1367"/>
      <c r="AB141" s="1367"/>
      <c r="AC141" s="1367"/>
      <c r="AD141" s="1367"/>
      <c r="AE141" s="1367"/>
      <c r="AF141" s="1633"/>
      <c r="AG141" s="623"/>
      <c r="AH141" s="623"/>
      <c r="AI141" s="623"/>
      <c r="AJ141" s="623"/>
      <c r="AK141" s="1642">
        <v>11</v>
      </c>
    </row>
    <row s="1642" customFormat="1" customHeight="1" ht="11.549999999999999">
      <c r="A142" s="988"/>
      <c r="B142" s="988"/>
      <c r="C142" s="988"/>
      <c r="D142" s="988"/>
      <c r="E142" s="988"/>
      <c r="F142" s="1637"/>
      <c r="G142" s="1637"/>
      <c r="H142" s="352"/>
      <c r="N142" s="1367"/>
      <c r="P142" s="1367"/>
      <c r="Q142" s="1637"/>
      <c r="R142" s="1637"/>
      <c r="S142" s="1367"/>
      <c r="T142" s="1367"/>
      <c r="U142" s="1367"/>
      <c r="V142" s="1367"/>
      <c r="W142" s="1637"/>
      <c r="X142" s="1367"/>
      <c r="Y142" s="1367"/>
      <c r="Z142" s="545"/>
      <c r="AA142" s="1367"/>
      <c r="AB142" s="1367"/>
      <c r="AC142" s="1367"/>
      <c r="AD142" s="1367"/>
      <c r="AE142" s="1367"/>
      <c r="AF142" s="1633"/>
      <c r="AG142" s="623"/>
      <c r="AH142" s="623"/>
      <c r="AI142" s="623"/>
      <c r="AJ142" s="623"/>
      <c r="AK142" s="1642">
        <v>11</v>
      </c>
    </row>
    <row s="1642" customFormat="1" customHeight="1" ht="11.549999999999999">
      <c r="A143" s="988"/>
      <c r="B143" s="988"/>
      <c r="C143" s="988"/>
      <c r="D143" s="988"/>
      <c r="E143" s="988"/>
      <c r="F143" s="1637"/>
      <c r="G143" s="1637"/>
      <c r="H143" s="352"/>
      <c r="N143" s="1367"/>
      <c r="P143" s="1367"/>
      <c r="Q143" s="1637"/>
      <c r="R143" s="1637"/>
      <c r="S143" s="1367"/>
      <c r="T143" s="1367"/>
      <c r="U143" s="1367"/>
      <c r="V143" s="1367"/>
      <c r="W143" s="1637"/>
      <c r="X143" s="1367"/>
      <c r="Y143" s="1367"/>
      <c r="Z143" s="545"/>
      <c r="AA143" s="1367"/>
      <c r="AB143" s="1367"/>
      <c r="AC143" s="1367"/>
      <c r="AD143" s="1367"/>
      <c r="AE143" s="1367"/>
      <c r="AF143" s="1633"/>
      <c r="AG143" s="623"/>
      <c r="AH143" s="623"/>
      <c r="AI143" s="623"/>
      <c r="AJ143" s="623"/>
      <c r="AK143" s="1642">
        <v>11</v>
      </c>
    </row>
    <row s="1642" customFormat="1" customHeight="1" ht="11.549999999999999">
      <c r="A144" s="988"/>
      <c r="B144" s="988"/>
      <c r="C144" s="988"/>
      <c r="D144" s="988"/>
      <c r="E144" s="988"/>
      <c r="F144" s="1637"/>
      <c r="G144" s="1637"/>
      <c r="H144" s="352"/>
      <c r="N144" s="1367"/>
      <c r="P144" s="1367"/>
      <c r="Q144" s="1637"/>
      <c r="R144" s="1637"/>
      <c r="S144" s="1367"/>
      <c r="T144" s="1367"/>
      <c r="U144" s="1367"/>
      <c r="V144" s="1367"/>
      <c r="W144" s="1637"/>
      <c r="X144" s="1367"/>
      <c r="Y144" s="1367"/>
      <c r="Z144" s="545"/>
      <c r="AA144" s="1367"/>
      <c r="AB144" s="1367"/>
      <c r="AC144" s="1367"/>
      <c r="AD144" s="1367"/>
      <c r="AE144" s="1367"/>
      <c r="AF144" s="1633"/>
      <c r="AG144" s="623"/>
      <c r="AH144" s="623"/>
      <c r="AI144" s="623"/>
      <c r="AJ144" s="623"/>
      <c r="AK144" s="1642">
        <v>11</v>
      </c>
    </row>
    <row s="1642" customFormat="1" customHeight="1" ht="11.549999999999999">
      <c r="A145" s="988"/>
      <c r="B145" s="988"/>
      <c r="C145" s="988"/>
      <c r="D145" s="988"/>
      <c r="E145" s="988"/>
      <c r="F145" s="1637"/>
      <c r="G145" s="1637"/>
      <c r="H145" s="352"/>
      <c r="N145" s="1367"/>
      <c r="P145" s="1367"/>
      <c r="Q145" s="1637"/>
      <c r="R145" s="1637"/>
      <c r="S145" s="1367"/>
      <c r="T145" s="1367"/>
      <c r="U145" s="1367"/>
      <c r="V145" s="1367"/>
      <c r="W145" s="1637"/>
      <c r="X145" s="1367"/>
      <c r="Y145" s="1367"/>
      <c r="Z145" s="545"/>
      <c r="AA145" s="1367"/>
      <c r="AB145" s="1367"/>
      <c r="AC145" s="1367"/>
      <c r="AD145" s="1367"/>
      <c r="AE145" s="1367"/>
      <c r="AF145" s="1633"/>
      <c r="AG145" s="623"/>
      <c r="AH145" s="623"/>
      <c r="AI145" s="623"/>
      <c r="AJ145" s="623"/>
      <c r="AK145" s="1642">
        <v>11</v>
      </c>
    </row>
    <row s="1642" customFormat="1" customHeight="1" ht="11.549999999999999">
      <c r="A146" s="988"/>
      <c r="B146" s="988"/>
      <c r="C146" s="988"/>
      <c r="D146" s="988"/>
      <c r="E146" s="988"/>
      <c r="F146" s="1637"/>
      <c r="G146" s="1637"/>
      <c r="H146" s="352"/>
      <c r="N146" s="1367"/>
      <c r="P146" s="1367"/>
      <c r="Q146" s="1637"/>
      <c r="R146" s="1637"/>
      <c r="S146" s="1367"/>
      <c r="T146" s="1367"/>
      <c r="U146" s="1367"/>
      <c r="V146" s="1367"/>
      <c r="W146" s="1637"/>
      <c r="X146" s="1367"/>
      <c r="Y146" s="1367"/>
      <c r="Z146" s="545"/>
      <c r="AA146" s="1367"/>
      <c r="AB146" s="1367"/>
      <c r="AC146" s="1367"/>
      <c r="AD146" s="1367"/>
      <c r="AE146" s="1367"/>
      <c r="AF146" s="1633"/>
      <c r="AG146" s="623"/>
      <c r="AH146" s="623"/>
      <c r="AI146" s="623"/>
      <c r="AJ146" s="623"/>
      <c r="AK146" s="1642">
        <v>11</v>
      </c>
    </row>
    <row s="1642" customFormat="1" customHeight="1" ht="11.549999999999999">
      <c r="A147" s="988"/>
      <c r="B147" s="988"/>
      <c r="C147" s="988"/>
      <c r="D147" s="988"/>
      <c r="E147" s="988"/>
      <c r="F147" s="1637"/>
      <c r="G147" s="1637"/>
      <c r="H147" s="352"/>
      <c r="N147" s="1367"/>
      <c r="P147" s="1367"/>
      <c r="Q147" s="1637"/>
      <c r="R147" s="1637"/>
      <c r="S147" s="1367"/>
      <c r="T147" s="1367"/>
      <c r="U147" s="1367"/>
      <c r="V147" s="1367"/>
      <c r="W147" s="1637"/>
      <c r="X147" s="1367"/>
      <c r="Y147" s="1367"/>
      <c r="Z147" s="545"/>
      <c r="AA147" s="1367"/>
      <c r="AB147" s="1367"/>
      <c r="AC147" s="1367"/>
      <c r="AD147" s="1367"/>
      <c r="AE147" s="1367"/>
      <c r="AF147" s="1633"/>
      <c r="AG147" s="623"/>
      <c r="AH147" s="623"/>
      <c r="AI147" s="623"/>
      <c r="AJ147" s="623"/>
      <c r="AK147" s="1642">
        <v>11</v>
      </c>
    </row>
    <row s="1642" customFormat="1" customHeight="1" ht="11.549999999999999">
      <c r="A148" s="988"/>
      <c r="B148" s="988"/>
      <c r="C148" s="988"/>
      <c r="D148" s="988"/>
      <c r="E148" s="988"/>
      <c r="F148" s="1637"/>
      <c r="G148" s="1637"/>
      <c r="H148" s="352"/>
      <c r="N148" s="1367"/>
      <c r="P148" s="1367"/>
      <c r="Q148" s="1637"/>
      <c r="R148" s="1637"/>
      <c r="S148" s="1367"/>
      <c r="T148" s="1367"/>
      <c r="U148" s="1367"/>
      <c r="V148" s="1367"/>
      <c r="W148" s="1637"/>
      <c r="X148" s="1367"/>
      <c r="Y148" s="1367"/>
      <c r="Z148" s="545"/>
      <c r="AA148" s="1367"/>
      <c r="AB148" s="1367"/>
      <c r="AC148" s="1367"/>
      <c r="AD148" s="1367"/>
      <c r="AE148" s="1367"/>
      <c r="AF148" s="1633"/>
      <c r="AG148" s="623"/>
      <c r="AH148" s="623"/>
      <c r="AI148" s="623"/>
      <c r="AJ148" s="623"/>
      <c r="AK148" s="1642">
        <v>11</v>
      </c>
    </row>
    <row s="1642" customFormat="1" customHeight="1" ht="11.549999999999999">
      <c r="A149" s="988"/>
      <c r="B149" s="988"/>
      <c r="C149" s="988"/>
      <c r="D149" s="988"/>
      <c r="E149" s="988"/>
      <c r="F149" s="1637"/>
      <c r="G149" s="1637"/>
      <c r="H149" s="352"/>
      <c r="N149" s="1367"/>
      <c r="P149" s="1367"/>
      <c r="Q149" s="1637"/>
      <c r="R149" s="1637"/>
      <c r="S149" s="1367"/>
      <c r="T149" s="1367"/>
      <c r="U149" s="1367"/>
      <c r="V149" s="1367"/>
      <c r="W149" s="1637"/>
      <c r="X149" s="1367"/>
      <c r="Y149" s="1367"/>
      <c r="Z149" s="545"/>
      <c r="AA149" s="1367"/>
      <c r="AB149" s="1367"/>
      <c r="AC149" s="1367"/>
      <c r="AD149" s="1367"/>
      <c r="AE149" s="1367"/>
      <c r="AF149" s="1633"/>
      <c r="AG149" s="623"/>
      <c r="AH149" s="623"/>
      <c r="AI149" s="623"/>
      <c r="AJ149" s="623"/>
      <c r="AK149" s="1642">
        <v>11</v>
      </c>
    </row>
    <row s="1642" customFormat="1" customHeight="1" ht="11.549999999999999">
      <c r="A150" s="988"/>
      <c r="B150" s="988"/>
      <c r="C150" s="988"/>
      <c r="D150" s="988"/>
      <c r="E150" s="988"/>
      <c r="F150" s="1637"/>
      <c r="G150" s="1637"/>
      <c r="H150" s="352"/>
      <c r="N150" s="1367"/>
      <c r="P150" s="1367"/>
      <c r="Q150" s="1637"/>
      <c r="R150" s="1637"/>
      <c r="S150" s="1367"/>
      <c r="T150" s="1367"/>
      <c r="U150" s="1367"/>
      <c r="V150" s="1367"/>
      <c r="W150" s="1637"/>
      <c r="X150" s="1367"/>
      <c r="Y150" s="1367"/>
      <c r="Z150" s="545"/>
      <c r="AA150" s="1367"/>
      <c r="AB150" s="1367"/>
      <c r="AC150" s="1367"/>
      <c r="AD150" s="1367"/>
      <c r="AE150" s="1367"/>
      <c r="AF150" s="1633"/>
      <c r="AG150" s="623"/>
      <c r="AH150" s="623"/>
      <c r="AI150" s="623"/>
      <c r="AJ150" s="623"/>
      <c r="AK150" s="1642">
        <v>11</v>
      </c>
    </row>
    <row s="1642" customFormat="1" customHeight="1" ht="11.549999999999999">
      <c r="A151" s="988"/>
      <c r="B151" s="988"/>
      <c r="C151" s="988"/>
      <c r="D151" s="988"/>
      <c r="E151" s="988"/>
      <c r="F151" s="1637"/>
      <c r="G151" s="1637"/>
      <c r="H151" s="352"/>
      <c r="N151" s="1367"/>
      <c r="P151" s="1367"/>
      <c r="Q151" s="1637"/>
      <c r="R151" s="1637"/>
      <c r="S151" s="1367"/>
      <c r="T151" s="1367"/>
      <c r="U151" s="1367"/>
      <c r="V151" s="1367"/>
      <c r="W151" s="1637"/>
      <c r="X151" s="1367"/>
      <c r="Y151" s="1367"/>
      <c r="Z151" s="545"/>
      <c r="AA151" s="1367"/>
      <c r="AB151" s="1367"/>
      <c r="AC151" s="1367"/>
      <c r="AD151" s="1367"/>
      <c r="AE151" s="1367"/>
      <c r="AF151" s="1633"/>
      <c r="AG151" s="623"/>
      <c r="AH151" s="623"/>
      <c r="AI151" s="623"/>
      <c r="AJ151" s="623"/>
      <c r="AK151" s="1642">
        <v>11</v>
      </c>
    </row>
    <row s="1642" customFormat="1" customHeight="1" ht="11.549999999999999">
      <c r="A152" s="988"/>
      <c r="B152" s="988"/>
      <c r="C152" s="988"/>
      <c r="D152" s="988"/>
      <c r="E152" s="988"/>
      <c r="F152" s="1637"/>
      <c r="G152" s="1637"/>
      <c r="H152" s="352"/>
      <c r="N152" s="1367"/>
      <c r="P152" s="1367"/>
      <c r="Q152" s="1637"/>
      <c r="R152" s="1637"/>
      <c r="S152" s="1367"/>
      <c r="T152" s="1367"/>
      <c r="U152" s="1367"/>
      <c r="V152" s="1367"/>
      <c r="W152" s="1637"/>
      <c r="X152" s="1367"/>
      <c r="Y152" s="1367"/>
      <c r="Z152" s="545"/>
      <c r="AA152" s="1367"/>
      <c r="AB152" s="1367"/>
      <c r="AC152" s="1367"/>
      <c r="AD152" s="1367"/>
      <c r="AE152" s="1367"/>
      <c r="AF152" s="1633"/>
      <c r="AG152" s="623"/>
      <c r="AH152" s="623"/>
      <c r="AI152" s="623"/>
      <c r="AJ152" s="623"/>
      <c r="AK152" s="1642">
        <v>11</v>
      </c>
    </row>
    <row s="1642" customFormat="1" customHeight="1" ht="11.549999999999999">
      <c r="A153" s="988"/>
      <c r="B153" s="988"/>
      <c r="C153" s="988"/>
      <c r="D153" s="988"/>
      <c r="E153" s="988"/>
      <c r="F153" s="1637"/>
      <c r="G153" s="1637"/>
      <c r="H153" s="352"/>
      <c r="N153" s="1367"/>
      <c r="P153" s="1367"/>
      <c r="Q153" s="1637"/>
      <c r="R153" s="1637"/>
      <c r="S153" s="1367"/>
      <c r="T153" s="1367"/>
      <c r="U153" s="1367"/>
      <c r="V153" s="1367"/>
      <c r="W153" s="1637"/>
      <c r="X153" s="1367"/>
      <c r="Y153" s="1367"/>
      <c r="Z153" s="545"/>
      <c r="AA153" s="1367"/>
      <c r="AB153" s="1367"/>
      <c r="AC153" s="1367"/>
      <c r="AD153" s="1367"/>
      <c r="AE153" s="1367"/>
      <c r="AF153" s="1633"/>
      <c r="AG153" s="623"/>
      <c r="AH153" s="623"/>
      <c r="AI153" s="623"/>
      <c r="AJ153" s="623"/>
      <c r="AK153" s="1642">
        <v>11</v>
      </c>
    </row>
    <row s="1642" customFormat="1" customHeight="1" ht="11.549999999999999">
      <c r="A154" s="988"/>
      <c r="B154" s="988"/>
      <c r="C154" s="988"/>
      <c r="D154" s="988"/>
      <c r="E154" s="988"/>
      <c r="F154" s="1637"/>
      <c r="G154" s="1637"/>
      <c r="H154" s="352"/>
      <c r="N154" s="1367"/>
      <c r="P154" s="1367"/>
      <c r="Q154" s="1637"/>
      <c r="R154" s="1637"/>
      <c r="S154" s="1367"/>
      <c r="T154" s="1367"/>
      <c r="U154" s="1367"/>
      <c r="V154" s="1367"/>
      <c r="W154" s="1637"/>
      <c r="X154" s="1367"/>
      <c r="Y154" s="1367"/>
      <c r="Z154" s="545"/>
      <c r="AA154" s="1367"/>
      <c r="AB154" s="1367"/>
      <c r="AC154" s="1367"/>
      <c r="AD154" s="1367"/>
      <c r="AE154" s="1367"/>
      <c r="AF154" s="1633"/>
      <c r="AG154" s="623"/>
      <c r="AH154" s="623"/>
      <c r="AI154" s="623"/>
      <c r="AJ154" s="623"/>
      <c r="AK154" s="1642">
        <v>11</v>
      </c>
    </row>
    <row s="1642" customFormat="1" customHeight="1" ht="11.549999999999999">
      <c r="A155" s="988"/>
      <c r="B155" s="988"/>
      <c r="C155" s="988"/>
      <c r="D155" s="988"/>
      <c r="E155" s="988"/>
      <c r="F155" s="1637"/>
      <c r="G155" s="1637"/>
      <c r="H155" s="352"/>
      <c r="N155" s="1367"/>
      <c r="P155" s="1367"/>
      <c r="Q155" s="1637"/>
      <c r="R155" s="1637"/>
      <c r="S155" s="1367"/>
      <c r="T155" s="1367"/>
      <c r="U155" s="1367"/>
      <c r="V155" s="1367"/>
      <c r="W155" s="1637"/>
      <c r="X155" s="1367"/>
      <c r="Y155" s="1367"/>
      <c r="Z155" s="545"/>
      <c r="AA155" s="1367"/>
      <c r="AB155" s="1367"/>
      <c r="AC155" s="1367"/>
      <c r="AD155" s="1367"/>
      <c r="AE155" s="1367"/>
      <c r="AF155" s="1633"/>
      <c r="AG155" s="623"/>
      <c r="AH155" s="623"/>
      <c r="AI155" s="623"/>
      <c r="AJ155" s="623"/>
      <c r="AK155" s="1642">
        <v>11</v>
      </c>
    </row>
    <row s="1642" customFormat="1" customHeight="1" ht="11.549999999999999">
      <c r="A156" s="988"/>
      <c r="B156" s="988"/>
      <c r="C156" s="988"/>
      <c r="D156" s="988"/>
      <c r="E156" s="988"/>
      <c r="F156" s="1637"/>
      <c r="G156" s="1637"/>
      <c r="H156" s="352"/>
      <c r="N156" s="1367"/>
      <c r="P156" s="1367"/>
      <c r="Q156" s="1637"/>
      <c r="R156" s="1637"/>
      <c r="S156" s="1367"/>
      <c r="T156" s="1367"/>
      <c r="U156" s="1367"/>
      <c r="V156" s="1367"/>
      <c r="W156" s="1637"/>
      <c r="X156" s="1367"/>
      <c r="Y156" s="1367"/>
      <c r="Z156" s="545"/>
      <c r="AA156" s="1367"/>
      <c r="AB156" s="1367"/>
      <c r="AC156" s="1367"/>
      <c r="AD156" s="1367"/>
      <c r="AE156" s="1367"/>
      <c r="AF156" s="1633"/>
      <c r="AG156" s="623"/>
      <c r="AH156" s="623"/>
      <c r="AI156" s="623"/>
      <c r="AJ156" s="623"/>
      <c r="AK156" s="1642">
        <v>11</v>
      </c>
    </row>
    <row s="1642" customFormat="1" customHeight="1" ht="11.549999999999999">
      <c r="A157" s="988"/>
      <c r="B157" s="988"/>
      <c r="C157" s="988"/>
      <c r="D157" s="988"/>
      <c r="E157" s="988"/>
      <c r="F157" s="1637"/>
      <c r="G157" s="1637"/>
      <c r="H157" s="352"/>
      <c r="N157" s="1367"/>
      <c r="P157" s="1367"/>
      <c r="Q157" s="1637"/>
      <c r="R157" s="1637"/>
      <c r="S157" s="1367"/>
      <c r="T157" s="1367"/>
      <c r="U157" s="1367"/>
      <c r="V157" s="1367"/>
      <c r="W157" s="1637"/>
      <c r="X157" s="1367"/>
      <c r="Y157" s="1367"/>
      <c r="Z157" s="545"/>
      <c r="AA157" s="1367"/>
      <c r="AB157" s="1367"/>
      <c r="AC157" s="1367"/>
      <c r="AD157" s="1367"/>
      <c r="AE157" s="1367"/>
      <c r="AF157" s="1633"/>
      <c r="AG157" s="623"/>
      <c r="AH157" s="623"/>
      <c r="AI157" s="623"/>
      <c r="AJ157" s="623"/>
      <c r="AK157" s="1642">
        <v>11</v>
      </c>
    </row>
    <row s="1642" customFormat="1" customHeight="1" ht="11.549999999999999">
      <c r="A158" s="988"/>
      <c r="B158" s="988"/>
      <c r="C158" s="988"/>
      <c r="D158" s="988"/>
      <c r="E158" s="988"/>
      <c r="F158" s="1637"/>
      <c r="G158" s="1637"/>
      <c r="H158" s="352"/>
      <c r="N158" s="1367"/>
      <c r="P158" s="1367"/>
      <c r="Q158" s="1637"/>
      <c r="R158" s="1637"/>
      <c r="S158" s="1367"/>
      <c r="T158" s="1367"/>
      <c r="U158" s="1367"/>
      <c r="V158" s="1367"/>
      <c r="W158" s="1637"/>
      <c r="X158" s="1367"/>
      <c r="Y158" s="1367"/>
      <c r="Z158" s="545"/>
      <c r="AA158" s="1367"/>
      <c r="AB158" s="1367"/>
      <c r="AC158" s="1367"/>
      <c r="AD158" s="1367"/>
      <c r="AE158" s="1367"/>
      <c r="AF158" s="1633"/>
      <c r="AG158" s="623"/>
      <c r="AH158" s="623"/>
      <c r="AI158" s="623"/>
      <c r="AJ158" s="623"/>
      <c r="AK158" s="1642">
        <v>11</v>
      </c>
    </row>
    <row s="1642" customFormat="1" customHeight="1" ht="11.549999999999999">
      <c r="A159" s="988"/>
      <c r="B159" s="988"/>
      <c r="C159" s="988"/>
      <c r="D159" s="988"/>
      <c r="E159" s="988"/>
      <c r="F159" s="1637"/>
      <c r="G159" s="1637"/>
      <c r="H159" s="352"/>
      <c r="N159" s="1367"/>
      <c r="P159" s="1367"/>
      <c r="Q159" s="1637"/>
      <c r="R159" s="1637"/>
      <c r="S159" s="1367"/>
      <c r="T159" s="1367"/>
      <c r="U159" s="1367"/>
      <c r="V159" s="1367"/>
      <c r="W159" s="1637"/>
      <c r="X159" s="1367"/>
      <c r="Y159" s="1367"/>
      <c r="Z159" s="545"/>
      <c r="AA159" s="1367"/>
      <c r="AB159" s="1367"/>
      <c r="AC159" s="1367"/>
      <c r="AD159" s="1367"/>
      <c r="AE159" s="1367"/>
      <c r="AF159" s="1633"/>
      <c r="AG159" s="623"/>
      <c r="AH159" s="623"/>
      <c r="AI159" s="623"/>
      <c r="AJ159" s="623"/>
      <c r="AK159" s="1642">
        <v>11</v>
      </c>
    </row>
    <row s="1642" customFormat="1" customHeight="1" ht="11.549999999999999">
      <c r="A160" s="988"/>
      <c r="B160" s="988"/>
      <c r="C160" s="988"/>
      <c r="D160" s="988"/>
      <c r="E160" s="988"/>
      <c r="F160" s="1637"/>
      <c r="G160" s="1637"/>
      <c r="H160" s="352"/>
      <c r="N160" s="1367"/>
      <c r="P160" s="1367"/>
      <c r="Q160" s="1637"/>
      <c r="R160" s="1637"/>
      <c r="S160" s="1367"/>
      <c r="T160" s="1367"/>
      <c r="U160" s="1367"/>
      <c r="V160" s="1367"/>
      <c r="W160" s="1637"/>
      <c r="X160" s="1367"/>
      <c r="Y160" s="1367"/>
      <c r="Z160" s="545"/>
      <c r="AA160" s="1367"/>
      <c r="AB160" s="1367"/>
      <c r="AC160" s="1367"/>
      <c r="AD160" s="1367"/>
      <c r="AE160" s="1367"/>
      <c r="AF160" s="1633"/>
      <c r="AG160" s="623"/>
      <c r="AH160" s="623"/>
      <c r="AI160" s="623"/>
      <c r="AJ160" s="623"/>
      <c r="AK160" s="1642">
        <v>11</v>
      </c>
    </row>
    <row s="1642" customFormat="1" customHeight="1" ht="11.549999999999999">
      <c r="A161" s="988"/>
      <c r="B161" s="988"/>
      <c r="C161" s="988"/>
      <c r="D161" s="988"/>
      <c r="E161" s="988"/>
      <c r="F161" s="1637"/>
      <c r="G161" s="1637"/>
      <c r="H161" s="352"/>
      <c r="N161" s="1367"/>
      <c r="P161" s="1367"/>
      <c r="Q161" s="1637"/>
      <c r="R161" s="1637"/>
      <c r="S161" s="1367"/>
      <c r="T161" s="1367"/>
      <c r="U161" s="1367"/>
      <c r="V161" s="1367"/>
      <c r="W161" s="1637"/>
      <c r="X161" s="1367"/>
      <c r="Y161" s="1367"/>
      <c r="Z161" s="545"/>
      <c r="AA161" s="1367"/>
      <c r="AB161" s="1367"/>
      <c r="AC161" s="1367"/>
      <c r="AD161" s="1367"/>
      <c r="AE161" s="1367"/>
      <c r="AF161" s="1633"/>
      <c r="AG161" s="623"/>
      <c r="AH161" s="623"/>
      <c r="AI161" s="623"/>
      <c r="AJ161" s="623"/>
      <c r="AK161" s="1642">
        <v>11</v>
      </c>
    </row>
    <row s="1642" customFormat="1" customHeight="1" ht="11.549999999999999">
      <c r="A162" s="988"/>
      <c r="B162" s="988"/>
      <c r="C162" s="988"/>
      <c r="D162" s="988"/>
      <c r="E162" s="988"/>
      <c r="F162" s="1637"/>
      <c r="G162" s="1637"/>
      <c r="H162" s="352"/>
      <c r="N162" s="1367"/>
      <c r="P162" s="1367"/>
      <c r="Q162" s="1637"/>
      <c r="R162" s="1637"/>
      <c r="S162" s="1367"/>
      <c r="T162" s="1367"/>
      <c r="U162" s="1367"/>
      <c r="V162" s="1367"/>
      <c r="W162" s="1637"/>
      <c r="X162" s="1367"/>
      <c r="Y162" s="1367"/>
      <c r="Z162" s="545"/>
      <c r="AA162" s="1367"/>
      <c r="AB162" s="1367"/>
      <c r="AC162" s="1367"/>
      <c r="AD162" s="1367"/>
      <c r="AE162" s="1367"/>
      <c r="AF162" s="1633"/>
      <c r="AG162" s="623"/>
      <c r="AH162" s="623"/>
      <c r="AI162" s="623"/>
      <c r="AJ162" s="623"/>
      <c r="AK162" s="1642">
        <v>11</v>
      </c>
    </row>
    <row s="1642" customFormat="1" customHeight="1" ht="11.549999999999999">
      <c r="A163" s="988"/>
      <c r="B163" s="988"/>
      <c r="C163" s="988"/>
      <c r="D163" s="988"/>
      <c r="E163" s="988"/>
      <c r="F163" s="1637"/>
      <c r="G163" s="1637"/>
      <c r="H163" s="352"/>
      <c r="N163" s="1367"/>
      <c r="P163" s="1367"/>
      <c r="Q163" s="1637"/>
      <c r="R163" s="1637"/>
      <c r="S163" s="1367"/>
      <c r="T163" s="1367"/>
      <c r="U163" s="1367"/>
      <c r="V163" s="1367"/>
      <c r="W163" s="1637"/>
      <c r="X163" s="1367"/>
      <c r="Y163" s="1367"/>
      <c r="Z163" s="545"/>
      <c r="AA163" s="1367"/>
      <c r="AB163" s="1367"/>
      <c r="AC163" s="1367"/>
      <c r="AD163" s="1367"/>
      <c r="AE163" s="1367"/>
      <c r="AF163" s="1633"/>
      <c r="AG163" s="623"/>
      <c r="AH163" s="623"/>
      <c r="AI163" s="623"/>
      <c r="AJ163" s="623"/>
      <c r="AK163" s="1642">
        <v>11</v>
      </c>
    </row>
    <row s="1642" customFormat="1" customHeight="1" ht="11.549999999999999">
      <c r="A164" s="988"/>
      <c r="B164" s="988"/>
      <c r="C164" s="988"/>
      <c r="D164" s="988"/>
      <c r="E164" s="988"/>
      <c r="F164" s="1637"/>
      <c r="G164" s="1637"/>
      <c r="H164" s="352"/>
      <c r="N164" s="1367"/>
      <c r="P164" s="1367"/>
      <c r="Q164" s="1637"/>
      <c r="R164" s="1637"/>
      <c r="S164" s="1367"/>
      <c r="T164" s="1367"/>
      <c r="U164" s="1367"/>
      <c r="V164" s="1367"/>
      <c r="W164" s="1637"/>
      <c r="X164" s="1367"/>
      <c r="Y164" s="1367"/>
      <c r="Z164" s="545"/>
      <c r="AA164" s="1367"/>
      <c r="AB164" s="1367"/>
      <c r="AC164" s="1367"/>
      <c r="AD164" s="1367"/>
      <c r="AE164" s="1367"/>
      <c r="AF164" s="1633"/>
      <c r="AG164" s="623"/>
      <c r="AH164" s="623"/>
      <c r="AI164" s="623"/>
      <c r="AJ164" s="623"/>
      <c r="AK164" s="1642">
        <v>11</v>
      </c>
    </row>
    <row s="1642" customFormat="1" customHeight="1" ht="11.549999999999999">
      <c r="A165" s="988"/>
      <c r="B165" s="988"/>
      <c r="C165" s="988"/>
      <c r="D165" s="988"/>
      <c r="E165" s="988"/>
      <c r="F165" s="1637"/>
      <c r="G165" s="1637"/>
      <c r="H165" s="352"/>
      <c r="N165" s="1367"/>
      <c r="P165" s="1367"/>
      <c r="Q165" s="1637"/>
      <c r="R165" s="1637"/>
      <c r="S165" s="1367"/>
      <c r="T165" s="1367"/>
      <c r="U165" s="1367"/>
      <c r="V165" s="1367"/>
      <c r="W165" s="1637"/>
      <c r="X165" s="1367"/>
      <c r="Y165" s="1367"/>
      <c r="Z165" s="545"/>
      <c r="AA165" s="1367"/>
      <c r="AB165" s="1367"/>
      <c r="AC165" s="1367"/>
      <c r="AD165" s="1367"/>
      <c r="AE165" s="1367"/>
      <c r="AF165" s="1633"/>
      <c r="AG165" s="623"/>
      <c r="AH165" s="623"/>
      <c r="AI165" s="623"/>
      <c r="AJ165" s="623"/>
      <c r="AK165" s="1642">
        <v>11</v>
      </c>
    </row>
    <row s="1642" customFormat="1" customHeight="1" ht="11.549999999999999">
      <c r="A166" s="988"/>
      <c r="B166" s="988"/>
      <c r="C166" s="988"/>
      <c r="D166" s="988"/>
      <c r="E166" s="988"/>
      <c r="F166" s="1637"/>
      <c r="G166" s="1637"/>
      <c r="H166" s="352"/>
      <c r="N166" s="1367"/>
      <c r="P166" s="1367"/>
      <c r="Q166" s="1637"/>
      <c r="R166" s="1637"/>
      <c r="S166" s="1367"/>
      <c r="T166" s="1367"/>
      <c r="U166" s="1367"/>
      <c r="V166" s="1367"/>
      <c r="W166" s="1637"/>
      <c r="X166" s="1367"/>
      <c r="Y166" s="1367"/>
      <c r="Z166" s="545"/>
      <c r="AA166" s="1367"/>
      <c r="AB166" s="1367"/>
      <c r="AC166" s="1367"/>
      <c r="AD166" s="1367"/>
      <c r="AE166" s="1367"/>
      <c r="AF166" s="1633"/>
      <c r="AG166" s="623"/>
      <c r="AH166" s="623"/>
      <c r="AI166" s="623"/>
      <c r="AJ166" s="623"/>
      <c r="AK166" s="1642">
        <v>11</v>
      </c>
    </row>
    <row s="1642" customFormat="1" customHeight="1" ht="11.549999999999999">
      <c r="A167" s="988"/>
      <c r="B167" s="988"/>
      <c r="C167" s="988"/>
      <c r="D167" s="988"/>
      <c r="E167" s="988"/>
      <c r="F167" s="1637"/>
      <c r="G167" s="1637"/>
      <c r="H167" s="352"/>
      <c r="N167" s="1367"/>
      <c r="P167" s="1367"/>
      <c r="Q167" s="1637"/>
      <c r="R167" s="1637"/>
      <c r="S167" s="1367"/>
      <c r="T167" s="1367"/>
      <c r="U167" s="1367"/>
      <c r="V167" s="1367"/>
      <c r="W167" s="1637"/>
      <c r="X167" s="1367"/>
      <c r="Y167" s="1367"/>
      <c r="Z167" s="545"/>
      <c r="AA167" s="1367"/>
      <c r="AB167" s="1367"/>
      <c r="AC167" s="1367"/>
      <c r="AD167" s="1367"/>
      <c r="AE167" s="1367"/>
      <c r="AF167" s="1633"/>
      <c r="AG167" s="623"/>
      <c r="AH167" s="623"/>
      <c r="AI167" s="623"/>
      <c r="AJ167" s="623"/>
      <c r="AK167" s="1642">
        <v>11</v>
      </c>
    </row>
    <row s="1642" customFormat="1" customHeight="1" ht="11.549999999999999">
      <c r="A168" s="988"/>
      <c r="B168" s="988"/>
      <c r="C168" s="988"/>
      <c r="D168" s="988"/>
      <c r="E168" s="988"/>
      <c r="F168" s="1637"/>
      <c r="G168" s="1637"/>
      <c r="H168" s="352"/>
      <c r="N168" s="1367"/>
      <c r="P168" s="1367"/>
      <c r="Q168" s="1637"/>
      <c r="R168" s="1637"/>
      <c r="S168" s="1367"/>
      <c r="T168" s="1367"/>
      <c r="U168" s="1367"/>
      <c r="V168" s="1367"/>
      <c r="W168" s="1637"/>
      <c r="X168" s="1367"/>
      <c r="Y168" s="1367"/>
      <c r="Z168" s="545"/>
      <c r="AA168" s="1367"/>
      <c r="AB168" s="1367"/>
      <c r="AC168" s="1367"/>
      <c r="AD168" s="1367"/>
      <c r="AE168" s="1367"/>
      <c r="AF168" s="1633"/>
      <c r="AG168" s="623"/>
      <c r="AH168" s="623"/>
      <c r="AI168" s="623"/>
      <c r="AJ168" s="623"/>
      <c r="AK168" s="1642">
        <v>11</v>
      </c>
    </row>
    <row s="1642" customFormat="1" customHeight="1" ht="11.549999999999999">
      <c r="A169" s="988"/>
      <c r="B169" s="988"/>
      <c r="C169" s="988"/>
      <c r="D169" s="988"/>
      <c r="E169" s="988"/>
      <c r="F169" s="1637"/>
      <c r="G169" s="1637"/>
      <c r="H169" s="352"/>
      <c r="N169" s="1367"/>
      <c r="P169" s="1367"/>
      <c r="Q169" s="1637"/>
      <c r="R169" s="1637"/>
      <c r="S169" s="1367"/>
      <c r="T169" s="1367"/>
      <c r="U169" s="1367"/>
      <c r="V169" s="1367"/>
      <c r="W169" s="1637"/>
      <c r="X169" s="1367"/>
      <c r="Y169" s="1367"/>
      <c r="Z169" s="545"/>
      <c r="AA169" s="1367"/>
      <c r="AB169" s="1367"/>
      <c r="AC169" s="1367"/>
      <c r="AD169" s="1367"/>
      <c r="AE169" s="1367"/>
      <c r="AF169" s="1633"/>
      <c r="AG169" s="623"/>
      <c r="AH169" s="623"/>
      <c r="AI169" s="623"/>
      <c r="AJ169" s="623"/>
      <c r="AK169" s="1642">
        <v>11</v>
      </c>
    </row>
    <row s="1642" customFormat="1" customHeight="1" ht="11.549999999999999">
      <c r="A170" s="988"/>
      <c r="B170" s="988"/>
      <c r="C170" s="988"/>
      <c r="D170" s="988"/>
      <c r="E170" s="988"/>
      <c r="F170" s="1637"/>
      <c r="G170" s="1637"/>
      <c r="H170" s="352"/>
      <c r="N170" s="1367"/>
      <c r="P170" s="1367"/>
      <c r="Q170" s="1637"/>
      <c r="R170" s="1637"/>
      <c r="S170" s="1367"/>
      <c r="T170" s="1367"/>
      <c r="U170" s="1367"/>
      <c r="V170" s="1367"/>
      <c r="W170" s="1637"/>
      <c r="X170" s="1367"/>
      <c r="Y170" s="1367"/>
      <c r="Z170" s="545"/>
      <c r="AA170" s="1367"/>
      <c r="AB170" s="1367"/>
      <c r="AC170" s="1367"/>
      <c r="AD170" s="1367"/>
      <c r="AE170" s="1367"/>
      <c r="AF170" s="1633"/>
      <c r="AG170" s="623"/>
      <c r="AH170" s="623"/>
      <c r="AI170" s="623"/>
      <c r="AJ170" s="623"/>
      <c r="AK170" s="1642">
        <v>11</v>
      </c>
    </row>
    <row s="1642" customFormat="1" customHeight="1" ht="11.549999999999999">
      <c r="A171" s="988"/>
      <c r="B171" s="988"/>
      <c r="C171" s="988"/>
      <c r="D171" s="988"/>
      <c r="E171" s="988"/>
      <c r="F171" s="1637"/>
      <c r="G171" s="1637"/>
      <c r="H171" s="352"/>
      <c r="N171" s="1367"/>
      <c r="P171" s="1367"/>
      <c r="Q171" s="1637"/>
      <c r="R171" s="1637"/>
      <c r="S171" s="1367"/>
      <c r="T171" s="1367"/>
      <c r="U171" s="1367"/>
      <c r="V171" s="1367"/>
      <c r="W171" s="1637"/>
      <c r="X171" s="1367"/>
      <c r="Y171" s="1367"/>
      <c r="Z171" s="545"/>
      <c r="AA171" s="1367"/>
      <c r="AB171" s="1367"/>
      <c r="AC171" s="1367"/>
      <c r="AD171" s="1367"/>
      <c r="AE171" s="1367"/>
      <c r="AF171" s="1633"/>
      <c r="AG171" s="623"/>
      <c r="AH171" s="623"/>
      <c r="AI171" s="623"/>
      <c r="AJ171" s="623"/>
      <c r="AK171" s="1642">
        <v>11</v>
      </c>
    </row>
    <row s="1642" customFormat="1" customHeight="1" ht="11.549999999999999">
      <c r="A172" s="988"/>
      <c r="B172" s="988"/>
      <c r="C172" s="988"/>
      <c r="D172" s="988"/>
      <c r="E172" s="988"/>
      <c r="F172" s="1637"/>
      <c r="G172" s="1637"/>
      <c r="H172" s="352"/>
      <c r="N172" s="1367"/>
      <c r="P172" s="1367"/>
      <c r="Q172" s="1637"/>
      <c r="R172" s="1637"/>
      <c r="S172" s="1367"/>
      <c r="T172" s="1367"/>
      <c r="U172" s="1367"/>
      <c r="V172" s="1367"/>
      <c r="W172" s="1637"/>
      <c r="X172" s="1367"/>
      <c r="Y172" s="1367"/>
      <c r="Z172" s="545"/>
      <c r="AA172" s="1367"/>
      <c r="AB172" s="1367"/>
      <c r="AC172" s="1367"/>
      <c r="AD172" s="1367"/>
      <c r="AE172" s="1367"/>
      <c r="AF172" s="1633"/>
      <c r="AG172" s="623"/>
      <c r="AH172" s="623"/>
      <c r="AI172" s="623"/>
      <c r="AJ172" s="623"/>
      <c r="AK172" s="1642">
        <v>11</v>
      </c>
    </row>
    <row s="1642" customFormat="1" customHeight="1" ht="11.549999999999999">
      <c r="A173" s="988"/>
      <c r="B173" s="988"/>
      <c r="C173" s="988"/>
      <c r="D173" s="988"/>
      <c r="E173" s="988"/>
      <c r="F173" s="1637"/>
      <c r="G173" s="1637"/>
      <c r="H173" s="352"/>
      <c r="N173" s="1367"/>
      <c r="P173" s="1367"/>
      <c r="Q173" s="1637"/>
      <c r="R173" s="1637"/>
      <c r="S173" s="1367"/>
      <c r="T173" s="1367"/>
      <c r="U173" s="1367"/>
      <c r="V173" s="1367"/>
      <c r="W173" s="1637"/>
      <c r="X173" s="1367"/>
      <c r="Y173" s="1367"/>
      <c r="Z173" s="545"/>
      <c r="AA173" s="1367"/>
      <c r="AB173" s="1367"/>
      <c r="AC173" s="1367"/>
      <c r="AD173" s="1367"/>
      <c r="AE173" s="1367"/>
      <c r="AF173" s="1633"/>
      <c r="AG173" s="623"/>
      <c r="AH173" s="623"/>
      <c r="AI173" s="623"/>
      <c r="AJ173" s="623"/>
      <c r="AK173" s="1642">
        <v>11</v>
      </c>
    </row>
    <row s="1642" customFormat="1" customHeight="1" ht="11.549999999999999">
      <c r="A174" s="988"/>
      <c r="B174" s="988"/>
      <c r="C174" s="988"/>
      <c r="D174" s="988"/>
      <c r="E174" s="988"/>
      <c r="F174" s="1637"/>
      <c r="G174" s="1637"/>
      <c r="H174" s="352"/>
      <c r="N174" s="1367"/>
      <c r="P174" s="1367"/>
      <c r="Q174" s="1637"/>
      <c r="R174" s="1637"/>
      <c r="S174" s="1367"/>
      <c r="T174" s="1367"/>
      <c r="U174" s="1367"/>
      <c r="V174" s="1367"/>
      <c r="W174" s="1637"/>
      <c r="X174" s="1367"/>
      <c r="Y174" s="1367"/>
      <c r="Z174" s="545"/>
      <c r="AA174" s="1367"/>
      <c r="AB174" s="1367"/>
      <c r="AC174" s="1367"/>
      <c r="AD174" s="1367"/>
      <c r="AE174" s="1367"/>
      <c r="AF174" s="1633"/>
      <c r="AG174" s="623"/>
      <c r="AH174" s="623"/>
      <c r="AI174" s="623"/>
      <c r="AJ174" s="623"/>
      <c r="AK174" s="1642">
        <v>11</v>
      </c>
    </row>
    <row s="1642" customFormat="1" customHeight="1" ht="11.549999999999999">
      <c r="A175" s="988"/>
      <c r="B175" s="988"/>
      <c r="C175" s="988"/>
      <c r="D175" s="988"/>
      <c r="E175" s="988"/>
      <c r="F175" s="1637"/>
      <c r="G175" s="1637"/>
      <c r="H175" s="352"/>
      <c r="N175" s="1367"/>
      <c r="P175" s="1367"/>
      <c r="Q175" s="1637"/>
      <c r="R175" s="1637"/>
      <c r="S175" s="1367"/>
      <c r="T175" s="1367"/>
      <c r="U175" s="1367"/>
      <c r="V175" s="1367"/>
      <c r="W175" s="1637"/>
      <c r="X175" s="1367"/>
      <c r="Y175" s="1367"/>
      <c r="Z175" s="545"/>
      <c r="AA175" s="1367"/>
      <c r="AB175" s="1367"/>
      <c r="AC175" s="1367"/>
      <c r="AD175" s="1367"/>
      <c r="AE175" s="1367"/>
      <c r="AF175" s="1633"/>
      <c r="AG175" s="623"/>
      <c r="AH175" s="623"/>
      <c r="AI175" s="623"/>
      <c r="AJ175" s="623"/>
      <c r="AK175" s="1642">
        <v>11</v>
      </c>
    </row>
    <row s="1642" customFormat="1" customHeight="1" ht="11.549999999999999">
      <c r="A176" s="988"/>
      <c r="B176" s="988"/>
      <c r="C176" s="988"/>
      <c r="D176" s="988"/>
      <c r="E176" s="988"/>
      <c r="F176" s="1637"/>
      <c r="G176" s="1637"/>
      <c r="H176" s="352"/>
      <c r="N176" s="1367"/>
      <c r="P176" s="1367"/>
      <c r="Q176" s="1637"/>
      <c r="R176" s="1637"/>
      <c r="S176" s="1367"/>
      <c r="T176" s="1367"/>
      <c r="U176" s="1367"/>
      <c r="V176" s="1367"/>
      <c r="W176" s="1637"/>
      <c r="X176" s="1367"/>
      <c r="Y176" s="1367"/>
      <c r="Z176" s="545"/>
      <c r="AA176" s="1367"/>
      <c r="AB176" s="1367"/>
      <c r="AC176" s="1367"/>
      <c r="AD176" s="1367"/>
      <c r="AE176" s="1367"/>
      <c r="AF176" s="1633"/>
      <c r="AG176" s="623"/>
      <c r="AH176" s="623"/>
      <c r="AI176" s="623"/>
      <c r="AJ176" s="623"/>
      <c r="AK176" s="1642">
        <v>11</v>
      </c>
    </row>
    <row s="1642" customFormat="1" customHeight="1" ht="11.549999999999999">
      <c r="A177" s="988"/>
      <c r="B177" s="988"/>
      <c r="C177" s="988"/>
      <c r="D177" s="988"/>
      <c r="E177" s="988"/>
      <c r="F177" s="1637"/>
      <c r="G177" s="1637"/>
      <c r="H177" s="352"/>
      <c r="N177" s="1367"/>
      <c r="P177" s="1367"/>
      <c r="Q177" s="1637"/>
      <c r="R177" s="1637"/>
      <c r="S177" s="1367"/>
      <c r="T177" s="1367"/>
      <c r="U177" s="1367"/>
      <c r="V177" s="1367"/>
      <c r="W177" s="1637"/>
      <c r="X177" s="1367"/>
      <c r="Y177" s="1367"/>
      <c r="Z177" s="545"/>
      <c r="AA177" s="1367"/>
      <c r="AB177" s="1367"/>
      <c r="AC177" s="1367"/>
      <c r="AD177" s="1367"/>
      <c r="AE177" s="1367"/>
      <c r="AF177" s="1633"/>
      <c r="AG177" s="623"/>
      <c r="AH177" s="623"/>
      <c r="AI177" s="623"/>
      <c r="AJ177" s="623"/>
      <c r="AK177" s="1642">
        <v>11</v>
      </c>
    </row>
    <row s="1642" customFormat="1" customHeight="1" ht="11.549999999999999">
      <c r="A178" s="988"/>
      <c r="B178" s="988"/>
      <c r="C178" s="988"/>
      <c r="D178" s="988"/>
      <c r="E178" s="988"/>
      <c r="F178" s="1637"/>
      <c r="G178" s="1637"/>
      <c r="H178" s="352"/>
      <c r="N178" s="1367"/>
      <c r="P178" s="1367"/>
      <c r="Q178" s="1637"/>
      <c r="R178" s="1637"/>
      <c r="S178" s="1367"/>
      <c r="T178" s="1367"/>
      <c r="U178" s="1367"/>
      <c r="V178" s="1367"/>
      <c r="W178" s="1637"/>
      <c r="X178" s="1367"/>
      <c r="Y178" s="1367"/>
      <c r="Z178" s="545"/>
      <c r="AA178" s="1367"/>
      <c r="AB178" s="1367"/>
      <c r="AC178" s="1367"/>
      <c r="AD178" s="1367"/>
      <c r="AE178" s="1367"/>
      <c r="AF178" s="1633"/>
      <c r="AG178" s="623"/>
      <c r="AH178" s="623"/>
      <c r="AI178" s="623"/>
      <c r="AJ178" s="623"/>
      <c r="AK178" s="1642">
        <v>11</v>
      </c>
    </row>
    <row s="1642" customFormat="1" customHeight="1" ht="11.549999999999999">
      <c r="A179" s="988"/>
      <c r="B179" s="988"/>
      <c r="C179" s="988"/>
      <c r="D179" s="988"/>
      <c r="E179" s="988"/>
      <c r="F179" s="1637"/>
      <c r="G179" s="1637"/>
      <c r="H179" s="352"/>
      <c r="N179" s="1367"/>
      <c r="P179" s="1367"/>
      <c r="Q179" s="1637"/>
      <c r="R179" s="1637"/>
      <c r="S179" s="1367"/>
      <c r="T179" s="1367"/>
      <c r="U179" s="1367"/>
      <c r="V179" s="1367"/>
      <c r="W179" s="1637"/>
      <c r="X179" s="1367"/>
      <c r="Y179" s="1367"/>
      <c r="Z179" s="545"/>
      <c r="AA179" s="1367"/>
      <c r="AB179" s="1367"/>
      <c r="AC179" s="1367"/>
      <c r="AD179" s="1367"/>
      <c r="AE179" s="1367"/>
      <c r="AF179" s="1633"/>
      <c r="AG179" s="623"/>
      <c r="AH179" s="623"/>
      <c r="AI179" s="623"/>
      <c r="AJ179" s="623"/>
      <c r="AK179" s="1642">
        <v>11</v>
      </c>
    </row>
    <row s="1642" customFormat="1" customHeight="1" ht="11.549999999999999">
      <c r="A180" s="988"/>
      <c r="B180" s="988"/>
      <c r="C180" s="988"/>
      <c r="D180" s="988"/>
      <c r="E180" s="988"/>
      <c r="F180" s="1637"/>
      <c r="G180" s="1637"/>
      <c r="H180" s="352"/>
      <c r="N180" s="1367"/>
      <c r="P180" s="1367"/>
      <c r="Q180" s="1637"/>
      <c r="R180" s="1637"/>
      <c r="S180" s="1367"/>
      <c r="T180" s="1367"/>
      <c r="U180" s="1367"/>
      <c r="V180" s="1367"/>
      <c r="W180" s="1637"/>
      <c r="X180" s="1367"/>
      <c r="Y180" s="1367"/>
      <c r="Z180" s="545"/>
      <c r="AA180" s="1367"/>
      <c r="AB180" s="1367"/>
      <c r="AC180" s="1367"/>
      <c r="AD180" s="1367"/>
      <c r="AE180" s="1367"/>
      <c r="AF180" s="1633"/>
      <c r="AG180" s="623"/>
      <c r="AH180" s="623"/>
      <c r="AI180" s="623"/>
      <c r="AJ180" s="623"/>
      <c r="AK180" s="1642">
        <v>11</v>
      </c>
    </row>
    <row s="1642" customFormat="1" customHeight="1" ht="11.549999999999999">
      <c r="A181" s="988"/>
      <c r="B181" s="988"/>
      <c r="C181" s="988"/>
      <c r="D181" s="988"/>
      <c r="E181" s="988"/>
      <c r="F181" s="1637"/>
      <c r="G181" s="1637"/>
      <c r="H181" s="352"/>
      <c r="N181" s="1367"/>
      <c r="P181" s="1367"/>
      <c r="Q181" s="1637"/>
      <c r="R181" s="1637"/>
      <c r="S181" s="1367"/>
      <c r="T181" s="1367"/>
      <c r="U181" s="1367"/>
      <c r="V181" s="1367"/>
      <c r="W181" s="1637"/>
      <c r="X181" s="1367"/>
      <c r="Y181" s="1367"/>
      <c r="Z181" s="545"/>
      <c r="AA181" s="1367"/>
      <c r="AB181" s="1367"/>
      <c r="AC181" s="1367"/>
      <c r="AD181" s="1367"/>
      <c r="AE181" s="1367"/>
      <c r="AF181" s="1633"/>
      <c r="AG181" s="623"/>
      <c r="AH181" s="623"/>
      <c r="AI181" s="623"/>
      <c r="AJ181" s="623"/>
      <c r="AK181" s="1642">
        <v>11</v>
      </c>
    </row>
    <row s="1642" customFormat="1" customHeight="1" ht="11.549999999999999">
      <c r="A182" s="988"/>
      <c r="B182" s="988"/>
      <c r="C182" s="988"/>
      <c r="D182" s="988"/>
      <c r="E182" s="988"/>
      <c r="F182" s="1637"/>
      <c r="G182" s="1637"/>
      <c r="H182" s="352"/>
      <c r="N182" s="1367"/>
      <c r="P182" s="1367"/>
      <c r="Q182" s="1637"/>
      <c r="R182" s="1637"/>
      <c r="S182" s="1367"/>
      <c r="T182" s="1367"/>
      <c r="U182" s="1367"/>
      <c r="V182" s="1367"/>
      <c r="W182" s="1637"/>
      <c r="X182" s="1367"/>
      <c r="Y182" s="1367"/>
      <c r="Z182" s="545"/>
      <c r="AA182" s="1367"/>
      <c r="AB182" s="1367"/>
      <c r="AC182" s="1367"/>
      <c r="AD182" s="1367"/>
      <c r="AE182" s="1367"/>
      <c r="AF182" s="1633"/>
      <c r="AG182" s="623"/>
      <c r="AH182" s="623"/>
      <c r="AI182" s="623"/>
      <c r="AJ182" s="623"/>
      <c r="AK182" s="1642">
        <v>11</v>
      </c>
    </row>
    <row s="1642" customFormat="1" customHeight="1" ht="11.549999999999999">
      <c r="A183" s="988"/>
      <c r="B183" s="988"/>
      <c r="C183" s="988"/>
      <c r="D183" s="988"/>
      <c r="E183" s="988"/>
      <c r="F183" s="1637"/>
      <c r="G183" s="1637"/>
      <c r="H183" s="352"/>
      <c r="N183" s="1367"/>
      <c r="P183" s="1367"/>
      <c r="Q183" s="1637"/>
      <c r="R183" s="1637"/>
      <c r="S183" s="1367"/>
      <c r="T183" s="1367"/>
      <c r="U183" s="1367"/>
      <c r="V183" s="1367"/>
      <c r="W183" s="1637"/>
      <c r="X183" s="1367"/>
      <c r="Y183" s="1367"/>
      <c r="Z183" s="545"/>
      <c r="AA183" s="1367"/>
      <c r="AB183" s="1367"/>
      <c r="AC183" s="1367"/>
      <c r="AD183" s="1367"/>
      <c r="AE183" s="1367"/>
      <c r="AF183" s="1633"/>
      <c r="AG183" s="623"/>
      <c r="AH183" s="623"/>
      <c r="AI183" s="623"/>
      <c r="AJ183" s="623"/>
      <c r="AK183" s="1642">
        <v>11</v>
      </c>
    </row>
    <row s="1642" customFormat="1" customHeight="1" ht="11.549999999999999">
      <c r="A184" s="988"/>
      <c r="B184" s="988"/>
      <c r="C184" s="988"/>
      <c r="D184" s="988"/>
      <c r="E184" s="988"/>
      <c r="F184" s="1637"/>
      <c r="G184" s="1637"/>
      <c r="H184" s="352"/>
      <c r="N184" s="1367"/>
      <c r="P184" s="1367"/>
      <c r="Q184" s="1637"/>
      <c r="R184" s="1637"/>
      <c r="S184" s="1367"/>
      <c r="T184" s="1367"/>
      <c r="U184" s="1367"/>
      <c r="V184" s="1367"/>
      <c r="W184" s="1637"/>
      <c r="X184" s="1367"/>
      <c r="Y184" s="1367"/>
      <c r="Z184" s="545"/>
      <c r="AA184" s="1367"/>
      <c r="AB184" s="1367"/>
      <c r="AC184" s="1367"/>
      <c r="AD184" s="1367"/>
      <c r="AE184" s="1367"/>
      <c r="AF184" s="1633"/>
      <c r="AG184" s="623"/>
      <c r="AH184" s="623"/>
      <c r="AI184" s="623"/>
      <c r="AJ184" s="623"/>
      <c r="AK184" s="1642">
        <v>11</v>
      </c>
    </row>
    <row s="1642" customFormat="1" customHeight="1" ht="11.549999999999999">
      <c r="A185" s="988"/>
      <c r="B185" s="988"/>
      <c r="C185" s="988"/>
      <c r="D185" s="988"/>
      <c r="E185" s="988"/>
      <c r="F185" s="1637"/>
      <c r="G185" s="1637"/>
      <c r="H185" s="352"/>
      <c r="N185" s="1367"/>
      <c r="P185" s="1367"/>
      <c r="Q185" s="1637"/>
      <c r="R185" s="1637"/>
      <c r="S185" s="1367"/>
      <c r="T185" s="1367"/>
      <c r="U185" s="1367"/>
      <c r="V185" s="1367"/>
      <c r="W185" s="1637"/>
      <c r="X185" s="1367"/>
      <c r="Y185" s="1367"/>
      <c r="Z185" s="545"/>
      <c r="AA185" s="1367"/>
      <c r="AB185" s="1367"/>
      <c r="AC185" s="1367"/>
      <c r="AD185" s="1367"/>
      <c r="AE185" s="1367"/>
      <c r="AF185" s="1633"/>
      <c r="AG185" s="623"/>
      <c r="AH185" s="623"/>
      <c r="AI185" s="623"/>
      <c r="AJ185" s="623"/>
      <c r="AK185" s="1642">
        <v>11</v>
      </c>
    </row>
    <row s="1642" customFormat="1" customHeight="1" ht="11.549999999999999">
      <c r="A186" s="988"/>
      <c r="B186" s="988"/>
      <c r="C186" s="988"/>
      <c r="D186" s="988"/>
      <c r="E186" s="988"/>
      <c r="F186" s="1637"/>
      <c r="G186" s="1637"/>
      <c r="H186" s="352"/>
      <c r="N186" s="1367"/>
      <c r="P186" s="1367"/>
      <c r="Q186" s="1637"/>
      <c r="R186" s="1637"/>
      <c r="S186" s="1367"/>
      <c r="T186" s="1367"/>
      <c r="U186" s="1367"/>
      <c r="V186" s="1367"/>
      <c r="W186" s="1637"/>
      <c r="X186" s="1367"/>
      <c r="Y186" s="1367"/>
      <c r="Z186" s="545"/>
      <c r="AA186" s="1367"/>
      <c r="AB186" s="1367"/>
      <c r="AC186" s="1367"/>
      <c r="AD186" s="1367"/>
      <c r="AE186" s="1367"/>
      <c r="AF186" s="1633"/>
      <c r="AG186" s="623"/>
      <c r="AH186" s="623"/>
      <c r="AI186" s="623"/>
      <c r="AJ186" s="623"/>
      <c r="AK186" s="1642">
        <v>11</v>
      </c>
    </row>
    <row s="1642" customFormat="1" customHeight="1" ht="11.549999999999999">
      <c r="A187" s="988"/>
      <c r="B187" s="988"/>
      <c r="C187" s="988"/>
      <c r="D187" s="988"/>
      <c r="E187" s="988"/>
      <c r="F187" s="1637"/>
      <c r="G187" s="1637"/>
      <c r="H187" s="352"/>
      <c r="N187" s="1367"/>
      <c r="P187" s="1367"/>
      <c r="Q187" s="1637"/>
      <c r="R187" s="1637"/>
      <c r="S187" s="1367"/>
      <c r="T187" s="1367"/>
      <c r="U187" s="1367"/>
      <c r="V187" s="1367"/>
      <c r="W187" s="1637"/>
      <c r="X187" s="1367"/>
      <c r="Y187" s="1367"/>
      <c r="Z187" s="545"/>
      <c r="AA187" s="1367"/>
      <c r="AB187" s="1367"/>
      <c r="AC187" s="1367"/>
      <c r="AD187" s="1367"/>
      <c r="AE187" s="1367"/>
      <c r="AF187" s="1633"/>
      <c r="AG187" s="623"/>
      <c r="AH187" s="623"/>
      <c r="AI187" s="623"/>
      <c r="AJ187" s="623"/>
      <c r="AK187" s="1642">
        <v>11</v>
      </c>
    </row>
    <row s="1642" customFormat="1" customHeight="1" ht="11.549999999999999">
      <c r="A188" s="988"/>
      <c r="B188" s="988"/>
      <c r="C188" s="988"/>
      <c r="D188" s="988"/>
      <c r="E188" s="988"/>
      <c r="F188" s="1637"/>
      <c r="G188" s="1637"/>
      <c r="H188" s="352"/>
      <c r="N188" s="1367"/>
      <c r="P188" s="1367"/>
      <c r="Q188" s="1637"/>
      <c r="R188" s="1637"/>
      <c r="S188" s="1367"/>
      <c r="T188" s="1367"/>
      <c r="U188" s="1367"/>
      <c r="V188" s="1367"/>
      <c r="W188" s="1637"/>
      <c r="X188" s="1367"/>
      <c r="Y188" s="1367"/>
      <c r="Z188" s="545"/>
      <c r="AA188" s="1367"/>
      <c r="AB188" s="1367"/>
      <c r="AC188" s="1367"/>
      <c r="AD188" s="1367"/>
      <c r="AE188" s="1367"/>
      <c r="AF188" s="1633"/>
      <c r="AG188" s="623"/>
      <c r="AH188" s="623"/>
      <c r="AI188" s="623"/>
      <c r="AJ188" s="623"/>
      <c r="AK188" s="1642">
        <v>11</v>
      </c>
    </row>
    <row s="1642" customFormat="1" customHeight="1" ht="11.549999999999999">
      <c r="A189" s="988"/>
      <c r="B189" s="988"/>
      <c r="C189" s="988"/>
      <c r="D189" s="988"/>
      <c r="E189" s="988"/>
      <c r="F189" s="1637"/>
      <c r="G189" s="1637"/>
      <c r="H189" s="352"/>
      <c r="N189" s="1367"/>
      <c r="P189" s="1367"/>
      <c r="Q189" s="1637"/>
      <c r="R189" s="1637"/>
      <c r="S189" s="1367"/>
      <c r="T189" s="1367"/>
      <c r="U189" s="1367"/>
      <c r="V189" s="1367"/>
      <c r="W189" s="1637"/>
      <c r="X189" s="1367"/>
      <c r="Y189" s="1367"/>
      <c r="Z189" s="545"/>
      <c r="AA189" s="1367"/>
      <c r="AB189" s="1367"/>
      <c r="AC189" s="1367"/>
      <c r="AD189" s="1367"/>
      <c r="AE189" s="1367"/>
      <c r="AF189" s="1633"/>
      <c r="AG189" s="623"/>
      <c r="AH189" s="623"/>
      <c r="AI189" s="623"/>
      <c r="AJ189" s="623"/>
      <c r="AK189" s="1642">
        <v>11</v>
      </c>
    </row>
    <row customHeight="1" ht="11.549999999999999">
      <c r="AK190" s="1632">
        <v>11</v>
      </c>
    </row>
    <row customHeight="1" ht="11.549999999999999">
      <c r="AK191" s="1632">
        <v>11</v>
      </c>
    </row>
    <row customHeight="1" ht="11.549999999999999">
      <c r="AK192" s="1632">
        <v>11</v>
      </c>
    </row>
    <row customHeight="1" ht="11.549999999999999">
      <c r="A193" s="991"/>
      <c r="B193" s="991"/>
      <c r="C193" s="991"/>
      <c r="D193" s="991"/>
      <c r="E193" s="991"/>
      <c r="F193" s="1632"/>
      <c r="H193" s="1632"/>
      <c r="N193" s="1632"/>
      <c r="P193" s="1632"/>
      <c r="S193" s="1632"/>
      <c r="T193" s="1632"/>
      <c r="U193" s="1632"/>
      <c r="V193" s="1632"/>
      <c r="X193" s="1632"/>
      <c r="Y193" s="1632"/>
      <c r="Z193" s="1632"/>
      <c r="AA193" s="1632"/>
      <c r="AB193" s="1632"/>
      <c r="AC193" s="1632"/>
      <c r="AD193" s="1632"/>
      <c r="AE193" s="1632"/>
      <c r="AF193" s="1632"/>
      <c r="AG193" s="1632"/>
      <c r="AH193" s="1632"/>
      <c r="AI193" s="1632"/>
      <c r="AJ193" s="1632"/>
      <c r="AK193" s="1632">
        <v>11</v>
      </c>
    </row>
    <row customHeight="1" ht="11.549999999999999">
      <c r="A194" s="991"/>
      <c r="B194" s="991"/>
      <c r="C194" s="991"/>
      <c r="D194" s="991"/>
      <c r="E194" s="991"/>
      <c r="F194" s="1632"/>
      <c r="H194" s="1632"/>
      <c r="N194" s="1632"/>
      <c r="P194" s="1632"/>
      <c r="S194" s="1632"/>
      <c r="T194" s="1632"/>
      <c r="U194" s="1632"/>
      <c r="V194" s="1632"/>
      <c r="X194" s="1632"/>
      <c r="Y194" s="1632"/>
      <c r="Z194" s="1632"/>
      <c r="AA194" s="1632"/>
      <c r="AB194" s="1632"/>
      <c r="AC194" s="1632"/>
      <c r="AD194" s="1632"/>
      <c r="AE194" s="1632"/>
      <c r="AF194" s="1632"/>
      <c r="AG194" s="1632"/>
      <c r="AH194" s="1632"/>
      <c r="AI194" s="1632"/>
      <c r="AJ194" s="1632"/>
      <c r="AK194" s="1632">
        <v>11</v>
      </c>
    </row>
    <row customHeight="1" ht="11.549999999999999">
      <c r="A195" s="991"/>
      <c r="B195" s="991"/>
      <c r="C195" s="991"/>
      <c r="D195" s="991"/>
      <c r="E195" s="991"/>
      <c r="F195" s="1632"/>
      <c r="H195" s="1632"/>
      <c r="N195" s="1632"/>
      <c r="P195" s="1632"/>
      <c r="S195" s="1632"/>
      <c r="T195" s="1632"/>
      <c r="U195" s="1632"/>
      <c r="V195" s="1632"/>
      <c r="X195" s="1632"/>
      <c r="Y195" s="1632"/>
      <c r="Z195" s="1632"/>
      <c r="AA195" s="1632"/>
      <c r="AB195" s="1632"/>
      <c r="AC195" s="1632"/>
      <c r="AD195" s="1632"/>
      <c r="AE195" s="1632"/>
      <c r="AF195" s="1632"/>
      <c r="AG195" s="1632"/>
      <c r="AH195" s="1632"/>
      <c r="AI195" s="1632"/>
      <c r="AJ195" s="1632"/>
      <c r="AK195" s="1632">
        <v>11</v>
      </c>
    </row>
    <row customHeight="1" ht="11.549999999999999">
      <c r="A196" s="991"/>
      <c r="B196" s="991"/>
      <c r="C196" s="991"/>
      <c r="D196" s="991"/>
      <c r="E196" s="991"/>
      <c r="F196" s="1632"/>
      <c r="H196" s="1632"/>
      <c r="N196" s="1632"/>
      <c r="P196" s="1632"/>
      <c r="S196" s="1632"/>
      <c r="T196" s="1632"/>
      <c r="U196" s="1632"/>
      <c r="V196" s="1632"/>
      <c r="X196" s="1632"/>
      <c r="Y196" s="1632"/>
      <c r="Z196" s="1632"/>
      <c r="AA196" s="1632"/>
      <c r="AB196" s="1632"/>
      <c r="AC196" s="1632"/>
      <c r="AD196" s="1632"/>
      <c r="AE196" s="1632"/>
      <c r="AF196" s="1632"/>
      <c r="AG196" s="1632"/>
      <c r="AH196" s="1632"/>
      <c r="AI196" s="1632"/>
      <c r="AJ196" s="1632"/>
      <c r="AK196" s="1632">
        <v>11</v>
      </c>
    </row>
    <row customHeight="1" ht="11.549999999999999">
      <c r="A197" s="991"/>
      <c r="B197" s="991"/>
      <c r="C197" s="991"/>
      <c r="D197" s="991"/>
      <c r="E197" s="991"/>
      <c r="F197" s="1632"/>
      <c r="H197" s="1632"/>
      <c r="N197" s="1632"/>
      <c r="P197" s="1632"/>
      <c r="S197" s="1632"/>
      <c r="T197" s="1632"/>
      <c r="U197" s="1632"/>
      <c r="V197" s="1632"/>
      <c r="X197" s="1632"/>
      <c r="Y197" s="1632"/>
      <c r="Z197" s="1632"/>
      <c r="AA197" s="1632"/>
      <c r="AB197" s="1632"/>
      <c r="AC197" s="1632"/>
      <c r="AD197" s="1632"/>
      <c r="AE197" s="1632"/>
      <c r="AF197" s="1632"/>
      <c r="AG197" s="1632"/>
      <c r="AH197" s="1632"/>
      <c r="AI197" s="1632"/>
      <c r="AJ197" s="1632"/>
      <c r="AK197" s="1632">
        <v>11</v>
      </c>
    </row>
    <row customHeight="1" ht="11.549999999999999">
      <c r="A198" s="991"/>
      <c r="B198" s="991"/>
      <c r="C198" s="991"/>
      <c r="D198" s="991"/>
      <c r="E198" s="991"/>
      <c r="F198" s="1632"/>
      <c r="H198" s="1632"/>
      <c r="N198" s="1632"/>
      <c r="P198" s="1632"/>
      <c r="S198" s="1632"/>
      <c r="T198" s="1632"/>
      <c r="U198" s="1632"/>
      <c r="V198" s="1632"/>
      <c r="X198" s="1632"/>
      <c r="Y198" s="1632"/>
      <c r="Z198" s="1632"/>
      <c r="AA198" s="1632"/>
      <c r="AB198" s="1632"/>
      <c r="AC198" s="1632"/>
      <c r="AD198" s="1632"/>
      <c r="AE198" s="1632"/>
      <c r="AF198" s="1632"/>
      <c r="AG198" s="1632"/>
      <c r="AH198" s="1632"/>
      <c r="AI198" s="1632"/>
      <c r="AJ198" s="1632"/>
      <c r="AK198" s="1632">
        <v>11</v>
      </c>
    </row>
    <row customHeight="1" ht="11.549999999999999">
      <c r="A199" s="991"/>
      <c r="B199" s="991"/>
      <c r="C199" s="991"/>
      <c r="D199" s="991"/>
      <c r="E199" s="991"/>
      <c r="F199" s="1632"/>
      <c r="H199" s="1632"/>
      <c r="N199" s="1632"/>
      <c r="P199" s="1632"/>
      <c r="S199" s="1632"/>
      <c r="T199" s="1632"/>
      <c r="U199" s="1632"/>
      <c r="V199" s="1632"/>
      <c r="X199" s="1632"/>
      <c r="Y199" s="1632"/>
      <c r="Z199" s="1632"/>
      <c r="AA199" s="1632"/>
      <c r="AB199" s="1632"/>
      <c r="AC199" s="1632"/>
      <c r="AD199" s="1632"/>
      <c r="AE199" s="1632"/>
      <c r="AF199" s="1632"/>
      <c r="AG199" s="1632"/>
      <c r="AH199" s="1632"/>
      <c r="AI199" s="1632"/>
      <c r="AJ199" s="1632"/>
      <c r="AK199" s="1632">
        <v>11</v>
      </c>
    </row>
    <row customHeight="1" ht="11.549999999999999">
      <c r="A200" s="991"/>
      <c r="B200" s="991"/>
      <c r="C200" s="991"/>
      <c r="D200" s="991"/>
      <c r="E200" s="991"/>
      <c r="F200" s="1632"/>
      <c r="H200" s="1632"/>
      <c r="N200" s="1632"/>
      <c r="P200" s="1632"/>
      <c r="S200" s="1632"/>
      <c r="T200" s="1632"/>
      <c r="U200" s="1632"/>
      <c r="V200" s="1632"/>
      <c r="X200" s="1632"/>
      <c r="Y200" s="1632"/>
      <c r="Z200" s="1632"/>
      <c r="AA200" s="1632"/>
      <c r="AB200" s="1632"/>
      <c r="AC200" s="1632"/>
      <c r="AD200" s="1632"/>
      <c r="AE200" s="1632"/>
      <c r="AF200" s="1632"/>
      <c r="AG200" s="1632"/>
      <c r="AH200" s="1632"/>
      <c r="AI200" s="1632"/>
      <c r="AJ200" s="1632"/>
      <c r="AK200" s="1632">
        <v>11</v>
      </c>
    </row>
    <row customHeight="1" ht="11.549999999999999">
      <c r="A201" s="991"/>
      <c r="B201" s="991"/>
      <c r="C201" s="991"/>
      <c r="D201" s="991"/>
      <c r="E201" s="991"/>
      <c r="F201" s="1632"/>
      <c r="H201" s="1632"/>
      <c r="N201" s="1632"/>
      <c r="P201" s="1632"/>
      <c r="S201" s="1632"/>
      <c r="T201" s="1632"/>
      <c r="U201" s="1632"/>
      <c r="V201" s="1632"/>
      <c r="X201" s="1632"/>
      <c r="Y201" s="1632"/>
      <c r="Z201" s="1632"/>
      <c r="AA201" s="1632"/>
      <c r="AB201" s="1632"/>
      <c r="AC201" s="1632"/>
      <c r="AD201" s="1632"/>
      <c r="AE201" s="1632"/>
      <c r="AF201" s="1632"/>
      <c r="AG201" s="1632"/>
      <c r="AH201" s="1632"/>
      <c r="AI201" s="1632"/>
      <c r="AJ201" s="1632"/>
      <c r="AK201" s="1632">
        <v>11</v>
      </c>
    </row>
    <row customHeight="1" ht="11.549999999999999">
      <c r="A202" s="991"/>
      <c r="B202" s="991"/>
      <c r="C202" s="991"/>
      <c r="D202" s="991"/>
      <c r="E202" s="991"/>
      <c r="F202" s="1632"/>
      <c r="H202" s="1632"/>
      <c r="N202" s="1632"/>
      <c r="P202" s="1632"/>
      <c r="S202" s="1632"/>
      <c r="T202" s="1632"/>
      <c r="U202" s="1632"/>
      <c r="V202" s="1632"/>
      <c r="X202" s="1632"/>
      <c r="Y202" s="1632"/>
      <c r="Z202" s="1632"/>
      <c r="AA202" s="1632"/>
      <c r="AB202" s="1632"/>
      <c r="AC202" s="1632"/>
      <c r="AD202" s="1632"/>
      <c r="AE202" s="1632"/>
      <c r="AF202" s="1632"/>
      <c r="AG202" s="1632"/>
      <c r="AH202" s="1632"/>
      <c r="AI202" s="1632"/>
      <c r="AJ202" s="1632"/>
      <c r="AK202" s="1632">
        <v>11</v>
      </c>
    </row>
    <row customHeight="1" ht="11.549999999999999">
      <c r="A203" s="991"/>
      <c r="B203" s="991"/>
      <c r="C203" s="991"/>
      <c r="D203" s="991"/>
      <c r="E203" s="991"/>
      <c r="F203" s="1632"/>
      <c r="H203" s="1632"/>
      <c r="N203" s="1632"/>
      <c r="P203" s="1632"/>
      <c r="S203" s="1632"/>
      <c r="T203" s="1632"/>
      <c r="U203" s="1632"/>
      <c r="V203" s="1632"/>
      <c r="X203" s="1632"/>
      <c r="Y203" s="1632"/>
      <c r="Z203" s="1632"/>
      <c r="AA203" s="1632"/>
      <c r="AB203" s="1632"/>
      <c r="AC203" s="1632"/>
      <c r="AD203" s="1632"/>
      <c r="AE203" s="1632"/>
      <c r="AF203" s="1632"/>
      <c r="AG203" s="1632"/>
      <c r="AH203" s="1632"/>
      <c r="AI203" s="1632"/>
      <c r="AJ203" s="1632"/>
      <c r="AK203" s="1632">
        <v>11</v>
      </c>
    </row>
    <row customHeight="1" ht="12.75" hidden="1">
      <c r="A204" s="988" t="s">
        <v>83</v>
      </c>
      <c r="B204" s="988" t="s">
        <v>157</v>
      </c>
      <c r="C204" s="988" t="s">
        <v>157</v>
      </c>
      <c r="D204" s="988" t="s">
        <v>157</v>
      </c>
      <c r="E204" s="988" t="s">
        <v>157</v>
      </c>
      <c r="F204" s="1636">
        <v>16</v>
      </c>
      <c r="G204" s="1637">
        <v>0</v>
      </c>
      <c r="H204" s="1636">
        <v>3</v>
      </c>
      <c r="I204" s="1632">
        <v>7</v>
      </c>
      <c r="J204" s="1632">
        <v>56</v>
      </c>
      <c r="K204" s="1632">
        <v>10</v>
      </c>
      <c r="L204" s="1632">
        <v>40</v>
      </c>
      <c r="M204" s="1632">
        <v>40</v>
      </c>
      <c r="N204" s="1367">
        <v>9</v>
      </c>
      <c r="O204" s="1632">
        <v>102</v>
      </c>
      <c r="P204" s="1367">
        <v>9</v>
      </c>
      <c r="Q204" s="1637">
        <v>5</v>
      </c>
      <c r="R204" s="1637">
        <v>3</v>
      </c>
      <c r="S204" s="1367">
        <v>3</v>
      </c>
      <c r="T204" s="1367">
        <v>3</v>
      </c>
      <c r="U204" s="1367">
        <v>3</v>
      </c>
      <c r="V204" s="1367">
        <v>3</v>
      </c>
      <c r="W204" s="1637">
        <v>10</v>
      </c>
      <c r="X204" s="1367">
        <v>34</v>
      </c>
      <c r="Y204" s="1367">
        <v>9</v>
      </c>
      <c r="Z204" s="545">
        <v>8</v>
      </c>
      <c r="AA204" s="1367">
        <v>8</v>
      </c>
      <c r="AB204" s="1367">
        <v>8</v>
      </c>
      <c r="AC204" s="1367">
        <v>8</v>
      </c>
      <c r="AD204" s="1367">
        <v>8</v>
      </c>
      <c r="AE204" s="1367">
        <v>8</v>
      </c>
      <c r="AF204" s="1633">
        <v>8</v>
      </c>
      <c r="AG204" s="1633">
        <v>8</v>
      </c>
      <c r="AH204" s="1633">
        <v>8</v>
      </c>
      <c r="AI204" s="1633">
        <v>8</v>
      </c>
      <c r="AJ204" s="1633">
        <v>8</v>
      </c>
      <c r="AK204" s="1632">
        <v>11</v>
      </c>
    </row>
  </sheetData>
  <sheetProtection sort="0" autoFilter="0" insertRows="0" insertColumns="1" deleteRows="0" deleteColumns="0"/>
  <mergeCells count="7">
    <mergeCell ref="I6:M6"/>
    <mergeCell ref="I7:M7"/>
    <mergeCell ref="J10:K10"/>
    <mergeCell ref="O10:O14"/>
    <mergeCell ref="J11:K11"/>
    <mergeCell ref="J12:K12"/>
    <mergeCell ref="I13:K13"/>
  </mergeCells>
  <dataValidations count="4">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L15:M15 L34:M34">
      <formula1>900</formula1>
    </dataValidation>
    <dataValidation type="whole" allowBlank="1" showErrorMessage="1" errorTitle="Ошибка" error="Допускается ввод только неотрицательных целых чисел!" sqref="L30:M31">
      <formula1>0</formula1>
      <formula2>9.99999999999999E+23</formula2>
    </dataValidation>
    <dataValidation type="textLength" operator="lessThanOrEqual" allowBlank="1" showInputMessage="1" showErrorMessage="1" errorTitle="Ошибка" error="Допускается ввод не более 900 символов!" prompt="Введите наименование прочих расходов" sqref="L17:M17">
      <formula1>900</formula1>
    </dataValidation>
    <dataValidation type="decimal" allowBlank="1" showErrorMessage="1" errorTitle="Ошибка" error="Допускается ввод только неотрицательных чисел!" sqref="L32:M33 L19:M29 L16:M16 L2:M2">
      <formula1>0</formula1>
      <formula2>9.99999999999999E+23</formula2>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drawing r:id="rId1"/>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DEDD6CE8-ABD8-8EC8-583A-9FF68EE10B18}" mc:Ignorable="x14ac xr xr2 xr3">
  <sheetPr>
    <tabColor theme="9" tint="-0.25"/>
  </sheetPr>
  <dimension ref="A1:W16"/>
  <sheetViews>
    <sheetView showGridLines="0" zoomScale="90" workbookViewId="0">
      <pane xSplit="11" ySplit="9" topLeftCell="L10" activePane="bottomRight" state="frozen"/>
      <selection pane="bottomLeft" activeCell="A10" sqref="A10"/>
      <selection pane="topRight" activeCell="L1" sqref="L1"/>
      <selection pane="bottomRight" activeCell="A1" sqref="A1"/>
    </sheetView>
  </sheetViews>
  <sheetFormatPr defaultColWidth="10.57421875" customHeight="1" defaultRowHeight="14.25"/>
  <cols>
    <col min="1" max="4" style="1636" width="10.57421875" hidden="1"/>
    <col min="5" max="5" style="2398" width="9.140625" hidden="1" customWidth="1"/>
    <col min="6" max="7" style="1367" width="9.140625" hidden="1" customWidth="1"/>
    <col min="8" max="8" style="345" width="3.00390625" customWidth="1"/>
    <col min="9" max="9" style="1636" width="6.00390625" customWidth="1"/>
    <col min="10" max="10" style="1636" width="63.00390625" customWidth="1"/>
    <col min="11" max="11" style="1636" width="9.00390625" customWidth="1"/>
    <col min="12" max="12" style="1636" width="39.00390625" customWidth="1"/>
    <col min="13" max="13" style="1636" width="89.00390625" customWidth="1"/>
    <col min="14" max="14" style="1636" width="10.00390625" customWidth="1"/>
    <col min="15" max="16" style="1625" width="10.00390625" customWidth="1"/>
    <col min="17" max="22" style="1636" width="10.00390625" customWidth="1"/>
    <col min="23" max="23" style="1636" width="10.57421875" hidden="1"/>
  </cols>
  <sheetData>
    <row customHeight="1" ht="22.5" hidden="1">
      <c r="S1" s="256"/>
      <c r="T1" s="256"/>
      <c r="V1" s="256"/>
      <c r="W1" s="1632" t="s">
        <v>14</v>
      </c>
    </row>
    <row customHeight="1" ht="22.5" hidden="1">
      <c r="B2" s="2054" t="s">
        <v>706</v>
      </c>
      <c r="C2" s="2054" t="s">
        <v>707</v>
      </c>
      <c r="D2" s="2053" t="s">
        <v>646</v>
      </c>
      <c r="E2" s="2059">
        <f>I2-3</f>
        <v>-3</v>
      </c>
      <c r="F2" s="2059">
        <f>J2</f>
        <v>0</v>
      </c>
      <c r="H2" s="1731" t="s">
        <v>104</v>
      </c>
      <c r="I2" s="2025"/>
      <c r="J2" s="1683"/>
      <c r="K2" s="2019" t="s">
        <v>323</v>
      </c>
      <c r="L2" s="1165"/>
      <c r="M2" s="298"/>
      <c r="N2" s="1625"/>
      <c r="P2" s="1632"/>
      <c r="W2" s="1632">
        <v>0</v>
      </c>
    </row>
    <row customHeight="1" ht="14.25" hidden="1">
      <c r="W3" s="1632">
        <v>0</v>
      </c>
    </row>
    <row customHeight="1" ht="6.3">
      <c r="H4" s="377"/>
      <c r="I4" s="458"/>
      <c r="J4" s="458"/>
      <c r="K4" s="458"/>
      <c r="L4" s="86"/>
      <c r="M4" s="86"/>
      <c r="W4" s="1632">
        <v>6</v>
      </c>
    </row>
    <row customHeight="1" ht="50.25">
      <c r="H5" s="377"/>
      <c r="I5" s="2249" t="s">
        <v>708</v>
      </c>
      <c r="J5" s="2249"/>
      <c r="K5" s="2249"/>
      <c r="L5" s="2249"/>
      <c r="M5" s="267"/>
      <c r="W5" s="1632">
        <v>48</v>
      </c>
    </row>
    <row customHeight="1" ht="18">
      <c r="H6" s="377"/>
      <c r="I6" s="2250" t="str">
        <f>IF(org=0,"Не определено",org)</f>
        <v>ПАО "КГК"</v>
      </c>
      <c r="J6" s="2250"/>
      <c r="K6" s="2250"/>
      <c r="L6" s="2250"/>
      <c r="M6" s="267"/>
      <c r="W6" s="1632">
        <v>17</v>
      </c>
    </row>
    <row customHeight="1" ht="14.699999999999998">
      <c r="H7" s="377"/>
      <c r="I7" s="458"/>
      <c r="J7" s="464"/>
      <c r="K7" s="464"/>
      <c r="L7" s="753"/>
      <c r="M7" s="194"/>
      <c r="W7" s="1632">
        <v>14</v>
      </c>
    </row>
    <row customHeight="1" ht="14.699999999999998">
      <c r="H8" s="377"/>
      <c r="I8" s="2387" t="s">
        <v>317</v>
      </c>
      <c r="J8" s="2388"/>
      <c r="K8" s="2388"/>
      <c r="L8" s="2389"/>
      <c r="M8" s="2390" t="s">
        <v>318</v>
      </c>
      <c r="W8" s="1632">
        <v>14</v>
      </c>
    </row>
    <row customHeight="1" ht="35.699999999999996">
      <c r="E9" s="2052" t="s">
        <v>637</v>
      </c>
      <c r="F9" s="2052" t="s">
        <v>643</v>
      </c>
      <c r="H9" s="377"/>
      <c r="I9" s="2026" t="s">
        <v>89</v>
      </c>
      <c r="J9" s="2027" t="s">
        <v>319</v>
      </c>
      <c r="K9" s="2065" t="s">
        <v>585</v>
      </c>
      <c r="L9" s="2066" t="s">
        <v>320</v>
      </c>
      <c r="M9" s="2390"/>
      <c r="W9" s="1632">
        <v>34</v>
      </c>
    </row>
    <row customHeight="1" ht="35.699999999999996">
      <c r="B10" s="2054" t="s">
        <v>709</v>
      </c>
      <c r="C10" s="2054" t="s">
        <v>710</v>
      </c>
      <c r="D10" s="2053" t="s">
        <v>646</v>
      </c>
      <c r="E10" s="2057" t="s">
        <v>647</v>
      </c>
      <c r="F10" s="2057" t="s">
        <v>647</v>
      </c>
      <c r="H10" s="377"/>
      <c r="I10" s="2025" t="s">
        <v>118</v>
      </c>
      <c r="J10" s="1887" t="s">
        <v>711</v>
      </c>
      <c r="K10" s="2019" t="s">
        <v>323</v>
      </c>
      <c r="L10" s="819"/>
      <c r="M10" s="298" t="s">
        <v>712</v>
      </c>
      <c r="W10" s="1632">
        <v>34</v>
      </c>
    </row>
    <row customHeight="1" ht="50.25">
      <c r="B11" s="2054" t="s">
        <v>713</v>
      </c>
      <c r="C11" s="2054" t="s">
        <v>714</v>
      </c>
      <c r="D11" s="2053" t="s">
        <v>646</v>
      </c>
      <c r="E11" s="2057" t="s">
        <v>647</v>
      </c>
      <c r="F11" s="2057" t="s">
        <v>647</v>
      </c>
      <c r="H11" s="377"/>
      <c r="I11" s="2025" t="s">
        <v>103</v>
      </c>
      <c r="J11" s="1887" t="s">
        <v>715</v>
      </c>
      <c r="K11" s="2019" t="s">
        <v>323</v>
      </c>
      <c r="L11" s="819"/>
      <c r="M11" s="298" t="s">
        <v>712</v>
      </c>
      <c r="W11" s="1632">
        <v>48</v>
      </c>
    </row>
    <row customHeight="1" ht="48.29999999999999">
      <c r="B12" s="2054" t="s">
        <v>716</v>
      </c>
      <c r="C12" s="2054" t="s">
        <v>717</v>
      </c>
      <c r="D12" s="2053" t="s">
        <v>646</v>
      </c>
      <c r="E12" s="2057" t="s">
        <v>647</v>
      </c>
      <c r="F12" s="2057" t="s">
        <v>647</v>
      </c>
      <c r="H12" s="1689"/>
      <c r="I12" s="2025" t="s">
        <v>91</v>
      </c>
      <c r="J12" s="2032" t="s">
        <v>718</v>
      </c>
      <c r="K12" s="2019" t="s">
        <v>323</v>
      </c>
      <c r="L12" s="819"/>
      <c r="M12" s="298" t="s">
        <v>719</v>
      </c>
      <c r="N12" s="1625"/>
      <c r="P12" s="1632"/>
      <c r="W12" s="1632">
        <v>46</v>
      </c>
    </row>
    <row customHeight="1" ht="14.699999999999998">
      <c r="E13" s="344"/>
      <c r="H13" s="377"/>
      <c r="I13" s="348"/>
      <c r="J13" s="652" t="s">
        <v>720</v>
      </c>
      <c r="K13" s="572"/>
      <c r="L13" s="215"/>
      <c r="M13" s="298"/>
      <c r="W13" s="1632">
        <v>14</v>
      </c>
    </row>
    <row customHeight="1" ht="14.699999999999998">
      <c r="E14" s="344"/>
      <c r="H14" s="377"/>
      <c r="I14" s="1058"/>
      <c r="J14" s="1678"/>
      <c r="K14" s="1679"/>
      <c r="L14" s="1680"/>
      <c r="M14" s="2029"/>
      <c r="W14" s="1632">
        <v>14</v>
      </c>
    </row>
    <row customHeight="1" ht="14.699999999999998">
      <c r="I15" s="1682"/>
      <c r="J15" s="2386"/>
      <c r="K15" s="2386"/>
      <c r="L15" s="2386"/>
      <c r="M15" s="2386"/>
      <c r="W15" s="1632">
        <v>14</v>
      </c>
    </row>
    <row customHeight="1" ht="21" hidden="1">
      <c r="A16" s="2031" t="s">
        <v>83</v>
      </c>
      <c r="B16" s="1632">
        <v>9</v>
      </c>
      <c r="C16" s="1632">
        <v>9</v>
      </c>
      <c r="D16" s="1632">
        <v>9</v>
      </c>
      <c r="E16" s="2031" t="s">
        <v>156</v>
      </c>
      <c r="F16" s="2056" t="s">
        <v>156</v>
      </c>
      <c r="G16" s="2058"/>
      <c r="H16" s="345">
        <v>3</v>
      </c>
      <c r="I16" s="1632">
        <v>6</v>
      </c>
      <c r="J16" s="1632">
        <v>63</v>
      </c>
      <c r="K16" s="1632">
        <v>9</v>
      </c>
      <c r="L16" s="1632">
        <v>39</v>
      </c>
      <c r="M16" s="1632">
        <v>89</v>
      </c>
      <c r="N16" s="1632">
        <v>10</v>
      </c>
      <c r="O16" s="1625">
        <v>10</v>
      </c>
      <c r="P16" s="1625">
        <v>10</v>
      </c>
      <c r="Q16" s="1632">
        <v>10</v>
      </c>
      <c r="R16" s="1632">
        <v>10</v>
      </c>
      <c r="S16" s="1632">
        <v>10</v>
      </c>
      <c r="T16" s="1632">
        <v>10</v>
      </c>
      <c r="U16" s="1632">
        <v>10</v>
      </c>
      <c r="V16" s="1632">
        <v>10</v>
      </c>
      <c r="W16" s="1632">
        <v>23</v>
      </c>
    </row>
  </sheetData>
  <sheetProtection formatColumns="0" formatRows="0" sort="0" autoFilter="0" insertRows="0" insertColumns="1" deleteRows="0" deleteColumns="0"/>
  <mergeCells count="5">
    <mergeCell ref="J15:M15"/>
    <mergeCell ref="I5:L5"/>
    <mergeCell ref="I6:L6"/>
    <mergeCell ref="I8:L8"/>
    <mergeCell ref="M8:M9"/>
  </mergeCells>
  <dataValidations count="2">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либо ссылку на официальный сайт в сети «Интернет», на котором размещена информация" sqref="L2 L10:L12">
      <formula1>900</formula1>
    </dataValidation>
    <dataValidation type="textLength" operator="lessThanOrEqual" allowBlank="1" showInputMessage="1" showErrorMessage="1" errorTitle="Ошибка" error="Допускается ввод не более 900 символов!" sqref="M10 J2">
      <formula1>900</formula1>
    </dataValidation>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drawing r:id="rId1"/>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5EC59A48-8A3C-5A28-9814-E787AE772608}" mc:Ignorable="x14ac xr xr2 xr3">
  <sheetPr>
    <tabColor theme="9" tint="-0.25"/>
  </sheetPr>
  <dimension ref="A1:AF217"/>
  <sheetViews>
    <sheetView showGridLines="0" zoomScale="90" workbookViewId="0">
      <pane xSplit="8" ySplit="14" topLeftCell="I15" activePane="bottomRight" state="frozen"/>
      <selection pane="bottomLeft" activeCell="A15" sqref="A15"/>
      <selection pane="topRight" activeCell="I1" sqref="I1"/>
      <selection pane="bottomRight" activeCell="A1" sqref="A1"/>
    </sheetView>
  </sheetViews>
  <sheetFormatPr defaultColWidth="9.140625" customHeight="1" defaultRowHeight="11.25"/>
  <cols>
    <col min="1" max="1" style="988" width="10.7109375" hidden="1" customWidth="1"/>
    <col min="2" max="2" style="1367" width="16.8515625" hidden="1" customWidth="1"/>
    <col min="3" max="3" style="1643" width="5.57421875" hidden="1" customWidth="1"/>
    <col min="4" max="4" style="1636" width="3.00390625" customWidth="1"/>
    <col min="5" max="5" style="1636" width="7.00390625" customWidth="1"/>
    <col min="6" max="6" style="1636" width="56.00390625" customWidth="1"/>
    <col min="7" max="7" style="1636" width="10.00390625" customWidth="1"/>
    <col min="8" max="8" style="1636" width="40.7109375" hidden="1" customWidth="1"/>
    <col min="9" max="9" style="1636" width="40.00390625" customWidth="1"/>
    <col min="10" max="10" style="1636" width="102.00390625" customWidth="1"/>
    <col min="11" max="11" style="1367" width="9.00390625" customWidth="1"/>
    <col min="12" max="12" style="1643" width="5.00390625" customWidth="1"/>
    <col min="13" max="13" style="1643" width="3.00390625" customWidth="1"/>
    <col min="14" max="17" style="1367" width="3.00390625" customWidth="1"/>
    <col min="18" max="18" style="1643" width="10.00390625" customWidth="1"/>
    <col min="19" max="19" style="1367" width="34.00390625" customWidth="1"/>
    <col min="20" max="20" style="1367" width="9.00390625" customWidth="1"/>
    <col min="21" max="21" style="737" width="8.00390625" customWidth="1"/>
    <col min="22" max="26" style="1367" width="8.00390625" customWidth="1"/>
    <col min="27" max="31" style="1633" width="8.00390625" customWidth="1"/>
    <col min="32" max="32" style="1636" width="10.421875" hidden="1" customWidth="1"/>
  </cols>
  <sheetData>
    <row s="1367" customFormat="1" customHeight="1" ht="22.5" hidden="1">
      <c r="A1" s="988"/>
      <c r="C1" s="1637"/>
      <c r="D1" s="538"/>
      <c r="H1" s="1161">
        <v>4</v>
      </c>
      <c r="I1" s="1161">
        <v>4</v>
      </c>
      <c r="L1" s="1637"/>
      <c r="M1" s="1637"/>
      <c r="R1" s="1637"/>
      <c r="AF1" s="1161" t="s">
        <v>14</v>
      </c>
    </row>
    <row s="1367" customFormat="1" customHeight="1" ht="22.5" hidden="1">
      <c r="A2" s="988"/>
      <c r="C2" s="1637"/>
      <c r="D2" s="539"/>
      <c r="E2" s="1638"/>
      <c r="F2" s="541"/>
      <c r="G2" s="1640" t="s">
        <v>571</v>
      </c>
      <c r="H2" s="542"/>
      <c r="I2" s="542"/>
      <c r="J2" s="543" t="s">
        <v>721</v>
      </c>
      <c r="K2" s="544"/>
      <c r="L2" s="1637"/>
      <c r="M2" s="1637"/>
      <c r="R2" s="1637"/>
      <c r="U2" s="545"/>
      <c r="AA2" s="1633"/>
      <c r="AB2" s="1633"/>
      <c r="AC2" s="1633"/>
      <c r="AD2" s="1633"/>
      <c r="AE2" s="1633"/>
      <c r="AF2" s="1161">
        <v>0</v>
      </c>
    </row>
    <row customHeight="1" ht="11.25" hidden="1">
      <c r="AF3" s="1632">
        <v>0</v>
      </c>
    </row>
    <row s="1633" customFormat="1" customHeight="1" ht="11.25" hidden="1">
      <c r="A4" s="988"/>
      <c r="B4" s="1161"/>
      <c r="C4" s="1637"/>
      <c r="D4" s="363"/>
      <c r="J4" s="1633">
        <v>4</v>
      </c>
      <c r="K4" s="1161"/>
      <c r="L4" s="1637"/>
      <c r="M4" s="1637"/>
      <c r="N4" s="1161"/>
      <c r="O4" s="1161"/>
      <c r="P4" s="1161"/>
      <c r="Q4" s="1161"/>
      <c r="R4" s="1637"/>
      <c r="S4" s="1161"/>
      <c r="T4" s="1161"/>
      <c r="U4" s="545"/>
      <c r="V4" s="1161"/>
      <c r="W4" s="1161"/>
      <c r="X4" s="1161"/>
      <c r="Y4" s="1161"/>
      <c r="Z4" s="1161"/>
      <c r="AF4" s="1633">
        <v>0</v>
      </c>
    </row>
    <row customHeight="1" ht="11.549999999999999">
      <c r="AF5" s="1632">
        <v>11</v>
      </c>
    </row>
    <row customHeight="1" ht="31.5">
      <c r="E6" s="2308" t="s">
        <v>722</v>
      </c>
      <c r="F6" s="2308"/>
      <c r="G6" s="2308"/>
      <c r="H6" s="2308"/>
      <c r="I6" s="2308"/>
      <c r="J6" s="557"/>
      <c r="AF6" s="1632">
        <v>30</v>
      </c>
    </row>
    <row customHeight="1" ht="11.549999999999999">
      <c r="E7" s="2250" t="str">
        <f>IF(org=0,"Не определено",org)</f>
        <v>ПАО "КГК"</v>
      </c>
      <c r="F7" s="2250"/>
      <c r="G7" s="2250"/>
      <c r="H7" s="2250"/>
      <c r="I7" s="2250"/>
      <c r="AF7" s="1632">
        <v>11</v>
      </c>
    </row>
    <row customHeight="1" ht="11.549999999999999">
      <c r="E8" s="1136"/>
      <c r="F8" s="1136"/>
      <c r="G8" s="1136"/>
      <c r="H8" s="1136"/>
      <c r="I8" s="1136"/>
      <c r="AF8" s="1632">
        <v>11</v>
      </c>
    </row>
    <row s="1643" customFormat="1" customHeight="1" ht="4.2">
      <c r="A9" s="1168"/>
      <c r="D9" s="1643"/>
      <c r="H9" s="890"/>
      <c r="I9" s="890" t="s">
        <v>125</v>
      </c>
      <c r="AF9" s="1637">
        <v>4</v>
      </c>
    </row>
    <row customHeight="1" ht="11.549999999999999">
      <c r="E10" s="712"/>
      <c r="F10" s="2368" t="s">
        <v>114</v>
      </c>
      <c r="G10" s="2369"/>
      <c r="H10" s="1553" t="str">
        <f>IF(H9="","",INDEX(DIFFERENTIATION_UNMERGE_VD,MATCH(H9,DIFFERENTIATION_ID_DIFF,0)))</f>
        <v/>
      </c>
      <c r="I10" s="1553">
        <f>IF(I9="","",INDEX(DIFFERENTIATION_UNMERGE_VD,MATCH(I9,DIFFERENTIATION_ID_DIFF,0)))</f>
        <v>0</v>
      </c>
      <c r="J10" s="2128"/>
      <c r="AF10" s="1632">
        <v>11</v>
      </c>
    </row>
    <row customHeight="1" ht="11.549999999999999">
      <c r="E11" s="712"/>
      <c r="F11" s="2368" t="s">
        <v>583</v>
      </c>
      <c r="G11" s="2369"/>
      <c r="H11" s="1553" t="str">
        <f>IF(H9="","",INDEX(DIFFERENTIATION_UNMERGE_AREA,MATCH(H9,DIFFERENTIATION_ID_DIFF,0)))</f>
        <v/>
      </c>
      <c r="I11" s="1553" t="str">
        <f>IF(I9="","",INDEX(DIFFERENTIATION_UNMERGE_AREA,MATCH(I9,DIFFERENTIATION_ID_DIFF,0)))</f>
        <v/>
      </c>
      <c r="J11" s="2128"/>
      <c r="AF11" s="1632">
        <v>11</v>
      </c>
    </row>
    <row customHeight="1" ht="1.05">
      <c r="E12" s="1663"/>
      <c r="F12" s="2391" t="s">
        <v>584</v>
      </c>
      <c r="G12" s="2392"/>
      <c r="H12" s="1664" t="str">
        <f>IF(H9="","",INDEX(DIFFERENTIATION_UNMERGE_SYSTEM,MATCH(H9,DIFFERENTIATION_ID_DIFF,0)))</f>
        <v/>
      </c>
      <c r="I12" s="1664" t="str">
        <f>IF(I9="","",INDEX(DIFFERENTIATION_UNMERGE_SYSTEM,MATCH(I9,DIFFERENTIATION_ID_DIFF,0)))</f>
        <v>без дифференциации</v>
      </c>
      <c r="J12" s="2128"/>
      <c r="AF12" s="1632">
        <v>1</v>
      </c>
    </row>
    <row customHeight="1" ht="11.549999999999999">
      <c r="E13" s="2370" t="s">
        <v>317</v>
      </c>
      <c r="F13" s="2371"/>
      <c r="G13" s="2371"/>
      <c r="H13" s="1552"/>
      <c r="I13" s="1552"/>
      <c r="J13" s="2128"/>
      <c r="AF13" s="1632">
        <v>11</v>
      </c>
    </row>
    <row customHeight="1" ht="24">
      <c r="E14" s="1640" t="s">
        <v>89</v>
      </c>
      <c r="F14" s="1635" t="s">
        <v>319</v>
      </c>
      <c r="G14" s="1635" t="s">
        <v>585</v>
      </c>
      <c r="H14" s="1635" t="s">
        <v>320</v>
      </c>
      <c r="I14" s="1635" t="s">
        <v>320</v>
      </c>
      <c r="J14" s="2128"/>
      <c r="AF14" s="1632">
        <v>23</v>
      </c>
    </row>
    <row customHeight="1" ht="19.95">
      <c r="D15" s="1639"/>
      <c r="E15" s="1631" t="s">
        <v>118</v>
      </c>
      <c r="F15" s="708" t="s">
        <v>723</v>
      </c>
      <c r="G15" s="1647" t="s">
        <v>571</v>
      </c>
      <c r="H15" s="558"/>
      <c r="I15" s="558"/>
      <c r="J15" s="290" t="s">
        <v>724</v>
      </c>
      <c r="K15" s="544" t="s">
        <v>649</v>
      </c>
      <c r="AF15" s="1632">
        <v>19</v>
      </c>
    </row>
    <row customHeight="1" ht="35.699999999999996">
      <c r="D16" s="1639"/>
      <c r="E16" s="1631" t="s">
        <v>103</v>
      </c>
      <c r="F16" s="708" t="s">
        <v>725</v>
      </c>
      <c r="G16" s="1647" t="s">
        <v>571</v>
      </c>
      <c r="H16" s="559">
        <f>SUM(H17,H20:H32)</f>
        <v>0</v>
      </c>
      <c r="I16" s="559">
        <f>SUM(I17,I20,I23,I26,I29:I32)</f>
        <v>0</v>
      </c>
      <c r="J16" s="290" t="s">
        <v>726</v>
      </c>
      <c r="K16" s="544" t="s">
        <v>649</v>
      </c>
      <c r="AF16" s="1632">
        <v>34</v>
      </c>
    </row>
    <row customHeight="1" ht="19.95">
      <c r="D17" s="1639"/>
      <c r="E17" s="1665" t="s">
        <v>727</v>
      </c>
      <c r="F17" s="955" t="s">
        <v>728</v>
      </c>
      <c r="G17" s="1644" t="s">
        <v>571</v>
      </c>
      <c r="H17" s="558"/>
      <c r="I17" s="558"/>
      <c r="J17" s="290" t="s">
        <v>729</v>
      </c>
      <c r="K17" s="544"/>
      <c r="AF17" s="1632">
        <v>19</v>
      </c>
    </row>
    <row customHeight="1" ht="24">
      <c r="D18" s="1639"/>
      <c r="E18" s="1665" t="s">
        <v>730</v>
      </c>
      <c r="F18" s="1651" t="s">
        <v>731</v>
      </c>
      <c r="G18" s="1644" t="s">
        <v>571</v>
      </c>
      <c r="H18" s="558"/>
      <c r="I18" s="558"/>
      <c r="J18" s="290" t="s">
        <v>732</v>
      </c>
      <c r="K18" s="544"/>
      <c r="AF18" s="1632">
        <v>23</v>
      </c>
    </row>
    <row customHeight="1" ht="35.699999999999996">
      <c r="D19" s="1639"/>
      <c r="E19" s="1665" t="s">
        <v>733</v>
      </c>
      <c r="F19" s="1651" t="s">
        <v>734</v>
      </c>
      <c r="G19" s="1644" t="s">
        <v>571</v>
      </c>
      <c r="H19" s="558"/>
      <c r="I19" s="558"/>
      <c r="J19" s="290"/>
      <c r="K19" s="544"/>
      <c r="AF19" s="1632">
        <v>34</v>
      </c>
    </row>
    <row customHeight="1" ht="19.95">
      <c r="D20" s="1639"/>
      <c r="E20" s="1665" t="s">
        <v>324</v>
      </c>
      <c r="F20" s="955" t="s">
        <v>735</v>
      </c>
      <c r="G20" s="1644" t="s">
        <v>571</v>
      </c>
      <c r="H20" s="558"/>
      <c r="I20" s="558"/>
      <c r="J20" s="290" t="s">
        <v>736</v>
      </c>
      <c r="K20" s="544"/>
      <c r="AF20" s="1632">
        <v>19</v>
      </c>
    </row>
    <row customHeight="1" ht="19.95">
      <c r="D21" s="1639"/>
      <c r="E21" s="1665" t="s">
        <v>737</v>
      </c>
      <c r="F21" s="1651" t="s">
        <v>738</v>
      </c>
      <c r="G21" s="1644" t="s">
        <v>571</v>
      </c>
      <c r="H21" s="558"/>
      <c r="I21" s="558"/>
      <c r="J21" s="290"/>
      <c r="K21" s="544"/>
      <c r="AF21" s="1632">
        <v>19</v>
      </c>
    </row>
    <row customHeight="1" ht="19.95">
      <c r="D22" s="1639"/>
      <c r="E22" s="1665" t="s">
        <v>739</v>
      </c>
      <c r="F22" s="1651" t="s">
        <v>740</v>
      </c>
      <c r="G22" s="1644" t="s">
        <v>571</v>
      </c>
      <c r="H22" s="558"/>
      <c r="I22" s="558"/>
      <c r="J22" s="290"/>
      <c r="K22" s="544"/>
      <c r="AF22" s="1632">
        <v>19</v>
      </c>
    </row>
    <row customHeight="1" ht="24">
      <c r="D23" s="1639"/>
      <c r="E23" s="1665" t="s">
        <v>327</v>
      </c>
      <c r="F23" s="955" t="s">
        <v>741</v>
      </c>
      <c r="G23" s="1644" t="s">
        <v>571</v>
      </c>
      <c r="H23" s="558"/>
      <c r="I23" s="558"/>
      <c r="J23" s="290" t="s">
        <v>742</v>
      </c>
      <c r="K23" s="544"/>
      <c r="AF23" s="1632">
        <v>23</v>
      </c>
    </row>
    <row customHeight="1" ht="19.95">
      <c r="D24" s="1639"/>
      <c r="E24" s="1665" t="s">
        <v>743</v>
      </c>
      <c r="F24" s="1651" t="s">
        <v>744</v>
      </c>
      <c r="G24" s="1644" t="s">
        <v>571</v>
      </c>
      <c r="H24" s="558"/>
      <c r="I24" s="558"/>
      <c r="J24" s="290"/>
      <c r="K24" s="544"/>
      <c r="AF24" s="1632">
        <v>19</v>
      </c>
    </row>
    <row customHeight="1" ht="35.699999999999996">
      <c r="D25" s="1639"/>
      <c r="E25" s="1665" t="s">
        <v>745</v>
      </c>
      <c r="F25" s="1651" t="s">
        <v>746</v>
      </c>
      <c r="G25" s="1644" t="s">
        <v>571</v>
      </c>
      <c r="H25" s="558"/>
      <c r="I25" s="558"/>
      <c r="J25" s="290"/>
      <c r="K25" s="544"/>
      <c r="AF25" s="1632">
        <v>34</v>
      </c>
    </row>
    <row customHeight="1" ht="24">
      <c r="D26" s="1639"/>
      <c r="E26" s="1665" t="s">
        <v>747</v>
      </c>
      <c r="F26" s="955" t="s">
        <v>748</v>
      </c>
      <c r="G26" s="1644" t="s">
        <v>571</v>
      </c>
      <c r="H26" s="558"/>
      <c r="I26" s="558"/>
      <c r="J26" s="290" t="s">
        <v>749</v>
      </c>
      <c r="K26" s="544"/>
      <c r="AF26" s="1632">
        <v>23</v>
      </c>
    </row>
    <row customHeight="1" ht="19.95">
      <c r="D27" s="1639"/>
      <c r="E27" s="1676" t="s">
        <v>750</v>
      </c>
      <c r="F27" s="1651" t="s">
        <v>751</v>
      </c>
      <c r="G27" s="1655" t="s">
        <v>571</v>
      </c>
      <c r="H27" s="1677"/>
      <c r="I27" s="1677"/>
      <c r="J27" s="290"/>
      <c r="K27" s="544"/>
      <c r="AF27" s="1632">
        <v>19</v>
      </c>
    </row>
    <row customHeight="1" ht="19.95">
      <c r="D28" s="1639"/>
      <c r="E28" s="1676" t="s">
        <v>752</v>
      </c>
      <c r="F28" s="1651" t="s">
        <v>753</v>
      </c>
      <c r="G28" s="1655" t="s">
        <v>571</v>
      </c>
      <c r="H28" s="1677"/>
      <c r="I28" s="1677"/>
      <c r="J28" s="290"/>
      <c r="K28" s="544"/>
      <c r="AF28" s="1632">
        <v>19</v>
      </c>
    </row>
    <row customHeight="1" ht="19.95">
      <c r="D29" s="1639"/>
      <c r="E29" s="1676" t="s">
        <v>754</v>
      </c>
      <c r="F29" s="955" t="s">
        <v>755</v>
      </c>
      <c r="G29" s="1655" t="s">
        <v>571</v>
      </c>
      <c r="H29" s="1677"/>
      <c r="I29" s="1677"/>
      <c r="J29" s="290"/>
      <c r="K29" s="544"/>
      <c r="AF29" s="1632">
        <v>19</v>
      </c>
    </row>
    <row customHeight="1" ht="19.95">
      <c r="D30" s="1639"/>
      <c r="E30" s="1676" t="s">
        <v>756</v>
      </c>
      <c r="F30" s="955" t="s">
        <v>757</v>
      </c>
      <c r="G30" s="1655" t="s">
        <v>571</v>
      </c>
      <c r="H30" s="1677"/>
      <c r="I30" s="1677"/>
      <c r="J30" s="290"/>
      <c r="K30" s="544"/>
      <c r="AF30" s="1632">
        <v>19</v>
      </c>
    </row>
    <row customHeight="1" ht="19.95">
      <c r="D31" s="1639"/>
      <c r="E31" s="1676" t="s">
        <v>758</v>
      </c>
      <c r="F31" s="955" t="s">
        <v>759</v>
      </c>
      <c r="G31" s="1655" t="s">
        <v>571</v>
      </c>
      <c r="H31" s="1677"/>
      <c r="I31" s="1677"/>
      <c r="J31" s="290"/>
      <c r="K31" s="544"/>
      <c r="AF31" s="1632">
        <v>19</v>
      </c>
    </row>
    <row s="1367" customFormat="1" customHeight="1" ht="35.699999999999996">
      <c r="A32" s="988"/>
      <c r="C32" s="1637"/>
      <c r="D32" s="1639"/>
      <c r="E32" s="1676" t="s">
        <v>760</v>
      </c>
      <c r="F32" s="955" t="s">
        <v>761</v>
      </c>
      <c r="G32" s="1645" t="s">
        <v>571</v>
      </c>
      <c r="H32" s="580">
        <f>SUM(H33:H34)</f>
        <v>0</v>
      </c>
      <c r="I32" s="580">
        <f>SUM(I33:I34)</f>
        <v>0</v>
      </c>
      <c r="J32" s="290" t="s">
        <v>762</v>
      </c>
      <c r="K32" s="544"/>
      <c r="L32" s="1637"/>
      <c r="M32" s="1637"/>
      <c r="R32" s="1637"/>
      <c r="U32" s="545"/>
      <c r="AA32" s="1633"/>
      <c r="AB32" s="1633"/>
      <c r="AC32" s="1633"/>
      <c r="AD32" s="1633"/>
      <c r="AE32" s="1633"/>
      <c r="AF32" s="1161">
        <v>34</v>
      </c>
    </row>
    <row s="1643" customFormat="1" customHeight="1" ht="1.05">
      <c r="A33" s="1168"/>
      <c r="D33" s="549"/>
      <c r="E33" s="803" t="str">
        <f>E32&amp;".0"</f>
        <v>2.8.0</v>
      </c>
      <c r="F33" s="992"/>
      <c r="G33" s="552"/>
      <c r="H33" s="993"/>
      <c r="I33" s="993"/>
      <c r="J33" s="994"/>
      <c r="AF33" s="1637">
        <v>1</v>
      </c>
    </row>
    <row s="1367" customFormat="1" customHeight="1" ht="19.95">
      <c r="A34" s="988"/>
      <c r="C34" s="1637"/>
      <c r="D34" s="1634"/>
      <c r="E34" s="571"/>
      <c r="F34" s="1667" t="s">
        <v>596</v>
      </c>
      <c r="G34" s="573"/>
      <c r="H34" s="574"/>
      <c r="I34" s="574"/>
      <c r="J34" s="302" t="s">
        <v>763</v>
      </c>
      <c r="K34" s="544"/>
      <c r="L34" s="1637"/>
      <c r="M34" s="1637"/>
      <c r="R34" s="1637"/>
      <c r="U34" s="545"/>
      <c r="AA34" s="1633"/>
      <c r="AB34" s="1633"/>
      <c r="AC34" s="1633"/>
      <c r="AD34" s="1633"/>
      <c r="AE34" s="1633"/>
      <c r="AF34" s="1161">
        <v>19</v>
      </c>
    </row>
    <row customHeight="1" ht="60">
      <c r="D35" s="1639"/>
      <c r="E35" s="1676" t="s">
        <v>764</v>
      </c>
      <c r="F35" s="955" t="s">
        <v>765</v>
      </c>
      <c r="G35" s="1655" t="s">
        <v>571</v>
      </c>
      <c r="H35" s="1677"/>
      <c r="I35" s="1677"/>
      <c r="J35" s="290" t="s">
        <v>766</v>
      </c>
      <c r="K35" s="544"/>
      <c r="AF35" s="1632">
        <v>57</v>
      </c>
    </row>
    <row s="1367" customFormat="1" customHeight="1" ht="24">
      <c r="A36" s="990" t="s">
        <v>597</v>
      </c>
      <c r="C36" s="1637"/>
      <c r="D36" s="1639"/>
      <c r="E36" s="1665" t="s">
        <v>91</v>
      </c>
      <c r="F36" s="708" t="s">
        <v>767</v>
      </c>
      <c r="G36" s="1644" t="s">
        <v>571</v>
      </c>
      <c r="H36" s="558"/>
      <c r="I36" s="558"/>
      <c r="J36" s="290" t="s">
        <v>768</v>
      </c>
      <c r="K36" s="544"/>
      <c r="L36" s="1637"/>
      <c r="M36" s="1637"/>
      <c r="R36" s="1637"/>
      <c r="U36" s="545"/>
      <c r="AA36" s="1633"/>
      <c r="AB36" s="1633"/>
      <c r="AC36" s="1633"/>
      <c r="AD36" s="1633"/>
      <c r="AE36" s="1633"/>
      <c r="AF36" s="1161">
        <v>23</v>
      </c>
    </row>
    <row s="1367" customFormat="1" customHeight="1" ht="35.699999999999996">
      <c r="A37" s="990"/>
      <c r="C37" s="1637"/>
      <c r="D37" s="1639"/>
      <c r="E37" s="1665" t="s">
        <v>341</v>
      </c>
      <c r="F37" s="955" t="s">
        <v>769</v>
      </c>
      <c r="G37" s="1655"/>
      <c r="H37" s="558"/>
      <c r="I37" s="558"/>
      <c r="J37" s="290"/>
      <c r="K37" s="544"/>
      <c r="L37" s="1637"/>
      <c r="M37" s="1637"/>
      <c r="R37" s="1637"/>
      <c r="U37" s="545"/>
      <c r="AA37" s="1633"/>
      <c r="AB37" s="1633"/>
      <c r="AC37" s="1633"/>
      <c r="AD37" s="1633"/>
      <c r="AE37" s="1633"/>
      <c r="AF37" s="1161">
        <v>34</v>
      </c>
    </row>
    <row s="1367" customFormat="1" customHeight="1" ht="19.95">
      <c r="A38" s="988"/>
      <c r="C38" s="1637"/>
      <c r="D38" s="576"/>
      <c r="E38" s="1665" t="s">
        <v>92</v>
      </c>
      <c r="F38" s="708" t="s">
        <v>770</v>
      </c>
      <c r="G38" s="1644" t="s">
        <v>571</v>
      </c>
      <c r="H38" s="558"/>
      <c r="I38" s="558"/>
      <c r="J38" s="290" t="s">
        <v>771</v>
      </c>
      <c r="K38" s="544"/>
      <c r="L38" s="1637"/>
      <c r="M38" s="1637"/>
      <c r="R38" s="1637"/>
      <c r="U38" s="545"/>
      <c r="AA38" s="1633"/>
      <c r="AB38" s="1633"/>
      <c r="AC38" s="1633"/>
      <c r="AD38" s="1633"/>
      <c r="AE38" s="1633"/>
      <c r="AF38" s="1161">
        <v>19</v>
      </c>
    </row>
    <row s="1367" customFormat="1" customHeight="1" ht="24">
      <c r="A39" s="988"/>
      <c r="C39" s="1637"/>
      <c r="D39" s="576"/>
      <c r="E39" s="1665" t="s">
        <v>772</v>
      </c>
      <c r="F39" s="955" t="s">
        <v>773</v>
      </c>
      <c r="G39" s="1655" t="s">
        <v>571</v>
      </c>
      <c r="H39" s="558"/>
      <c r="I39" s="558"/>
      <c r="J39" s="290" t="s">
        <v>774</v>
      </c>
      <c r="K39" s="544"/>
      <c r="L39" s="1637"/>
      <c r="M39" s="1637"/>
      <c r="R39" s="1637"/>
      <c r="U39" s="545"/>
      <c r="AA39" s="1633"/>
      <c r="AB39" s="1633"/>
      <c r="AC39" s="1633"/>
      <c r="AD39" s="1633"/>
      <c r="AE39" s="1633"/>
      <c r="AF39" s="1161">
        <v>23</v>
      </c>
    </row>
    <row s="1367" customFormat="1" customHeight="1" ht="24">
      <c r="A40" s="988"/>
      <c r="C40" s="1637"/>
      <c r="D40" s="1639"/>
      <c r="E40" s="1665" t="s">
        <v>775</v>
      </c>
      <c r="F40" s="1651" t="s">
        <v>776</v>
      </c>
      <c r="G40" s="1644" t="s">
        <v>571</v>
      </c>
      <c r="H40" s="558"/>
      <c r="I40" s="558"/>
      <c r="J40" s="290" t="s">
        <v>777</v>
      </c>
      <c r="K40" s="544"/>
      <c r="L40" s="1637"/>
      <c r="M40" s="1637"/>
      <c r="R40" s="1637"/>
      <c r="U40" s="545"/>
      <c r="AA40" s="1633"/>
      <c r="AB40" s="1633"/>
      <c r="AC40" s="1633"/>
      <c r="AD40" s="1633"/>
      <c r="AE40" s="1633"/>
      <c r="AF40" s="1161">
        <v>23</v>
      </c>
    </row>
    <row s="1367" customFormat="1" customHeight="1" ht="24">
      <c r="A41" s="988"/>
      <c r="C41" s="1637"/>
      <c r="D41" s="1639"/>
      <c r="E41" s="1665" t="s">
        <v>778</v>
      </c>
      <c r="F41" s="1651" t="s">
        <v>779</v>
      </c>
      <c r="G41" s="1644" t="s">
        <v>571</v>
      </c>
      <c r="H41" s="558"/>
      <c r="I41" s="558"/>
      <c r="J41" s="290" t="s">
        <v>780</v>
      </c>
      <c r="K41" s="544"/>
      <c r="L41" s="1637"/>
      <c r="M41" s="1637"/>
      <c r="R41" s="1637"/>
      <c r="U41" s="545"/>
      <c r="AA41" s="1633"/>
      <c r="AB41" s="1633"/>
      <c r="AC41" s="1633"/>
      <c r="AD41" s="1633"/>
      <c r="AE41" s="1633"/>
      <c r="AF41" s="1161">
        <v>23</v>
      </c>
    </row>
    <row s="1367" customFormat="1" customHeight="1" ht="24">
      <c r="A42" s="988"/>
      <c r="C42" s="1637"/>
      <c r="D42" s="1639"/>
      <c r="E42" s="1665" t="s">
        <v>781</v>
      </c>
      <c r="F42" s="1651" t="s">
        <v>782</v>
      </c>
      <c r="G42" s="1644" t="s">
        <v>571</v>
      </c>
      <c r="H42" s="558"/>
      <c r="I42" s="558"/>
      <c r="J42" s="290" t="s">
        <v>783</v>
      </c>
      <c r="K42" s="544"/>
      <c r="L42" s="1637"/>
      <c r="M42" s="1637"/>
      <c r="R42" s="1637"/>
      <c r="U42" s="545"/>
      <c r="AA42" s="1633"/>
      <c r="AB42" s="1633"/>
      <c r="AC42" s="1633"/>
      <c r="AD42" s="1633"/>
      <c r="AE42" s="1633"/>
      <c r="AF42" s="1161">
        <v>23</v>
      </c>
    </row>
    <row s="1367" customFormat="1" customHeight="1" ht="35.699999999999996">
      <c r="A43" s="988"/>
      <c r="C43" s="1637" t="s">
        <v>607</v>
      </c>
      <c r="D43" s="1639"/>
      <c r="E43" s="1665" t="s">
        <v>119</v>
      </c>
      <c r="F43" s="708" t="s">
        <v>648</v>
      </c>
      <c r="G43" s="1647" t="s">
        <v>784</v>
      </c>
      <c r="H43" s="402"/>
      <c r="I43" s="402"/>
      <c r="J43" s="290" t="s">
        <v>785</v>
      </c>
      <c r="K43" s="544"/>
      <c r="L43" s="1637"/>
      <c r="M43" s="1637"/>
      <c r="R43" s="1637"/>
      <c r="U43" s="545"/>
      <c r="AA43" s="1633"/>
      <c r="AB43" s="1633"/>
      <c r="AC43" s="1633"/>
      <c r="AD43" s="1633"/>
      <c r="AE43" s="1633"/>
      <c r="AF43" s="1161">
        <v>34</v>
      </c>
    </row>
    <row s="1367" customFormat="1" customHeight="1" ht="35.699999999999996">
      <c r="A44" s="988"/>
      <c r="C44" s="1637"/>
      <c r="D44" s="1639"/>
      <c r="E44" s="1665" t="s">
        <v>93</v>
      </c>
      <c r="F44" s="708" t="s">
        <v>786</v>
      </c>
      <c r="G44" s="1644" t="s">
        <v>787</v>
      </c>
      <c r="H44" s="546"/>
      <c r="I44" s="546"/>
      <c r="J44" s="290" t="s">
        <v>788</v>
      </c>
      <c r="K44" s="544"/>
      <c r="L44" s="1637"/>
      <c r="M44" s="1637"/>
      <c r="R44" s="1637"/>
      <c r="U44" s="545"/>
      <c r="AA44" s="1633"/>
      <c r="AB44" s="1633"/>
      <c r="AC44" s="1633"/>
      <c r="AD44" s="1633"/>
      <c r="AE44" s="1633"/>
      <c r="AF44" s="1161">
        <v>34</v>
      </c>
    </row>
    <row s="1367" customFormat="1" customHeight="1" ht="24">
      <c r="A45" s="988"/>
      <c r="C45" s="1637"/>
      <c r="D45" s="1639"/>
      <c r="E45" s="1665" t="s">
        <v>94</v>
      </c>
      <c r="F45" s="708" t="s">
        <v>789</v>
      </c>
      <c r="G45" s="1655" t="s">
        <v>790</v>
      </c>
      <c r="H45" s="546"/>
      <c r="I45" s="546"/>
      <c r="J45" s="290" t="s">
        <v>791</v>
      </c>
      <c r="K45" s="544"/>
      <c r="L45" s="1637"/>
      <c r="M45" s="1637"/>
      <c r="R45" s="1637"/>
      <c r="U45" s="545"/>
      <c r="AA45" s="1633"/>
      <c r="AB45" s="1633"/>
      <c r="AC45" s="1633"/>
      <c r="AD45" s="1633"/>
      <c r="AE45" s="1633"/>
      <c r="AF45" s="1161">
        <v>23</v>
      </c>
    </row>
    <row s="1367" customFormat="1" customHeight="1" ht="19.95">
      <c r="A46" s="988"/>
      <c r="C46" s="1637"/>
      <c r="D46" s="1639"/>
      <c r="E46" s="1665" t="s">
        <v>120</v>
      </c>
      <c r="F46" s="708" t="s">
        <v>792</v>
      </c>
      <c r="G46" s="1644" t="s">
        <v>609</v>
      </c>
      <c r="H46" s="578"/>
      <c r="I46" s="578"/>
      <c r="J46" s="290"/>
      <c r="K46" s="544"/>
      <c r="L46" s="1637"/>
      <c r="M46" s="1637"/>
      <c r="R46" s="1637"/>
      <c r="U46" s="545"/>
      <c r="AA46" s="1633"/>
      <c r="AB46" s="1633"/>
      <c r="AC46" s="1633"/>
      <c r="AD46" s="1633"/>
      <c r="AE46" s="1633"/>
      <c r="AF46" s="1161">
        <v>19</v>
      </c>
    </row>
    <row customHeight="1" ht="11.549999999999999">
      <c r="D47" s="1639"/>
      <c r="AF47" s="1632">
        <v>11</v>
      </c>
    </row>
    <row s="1642" customFormat="1" customHeight="1" ht="11.549999999999999">
      <c r="A48" s="988"/>
      <c r="B48" s="1637"/>
      <c r="C48" s="1637"/>
      <c r="D48" s="352"/>
      <c r="K48" s="1161"/>
      <c r="L48" s="1637"/>
      <c r="M48" s="1637"/>
      <c r="N48" s="1161"/>
      <c r="O48" s="1161"/>
      <c r="P48" s="1161"/>
      <c r="Q48" s="1161"/>
      <c r="R48" s="1637"/>
      <c r="S48" s="1161"/>
      <c r="T48" s="1161"/>
      <c r="U48" s="545"/>
      <c r="V48" s="1161"/>
      <c r="W48" s="1161"/>
      <c r="X48" s="1161"/>
      <c r="Y48" s="1161"/>
      <c r="Z48" s="1161"/>
      <c r="AA48" s="1633"/>
      <c r="AB48" s="567"/>
      <c r="AC48" s="567"/>
      <c r="AD48" s="567"/>
      <c r="AE48" s="567"/>
      <c r="AF48" s="1642">
        <v>11</v>
      </c>
    </row>
    <row s="1642" customFormat="1" customHeight="1" ht="11.549999999999999">
      <c r="A49" s="988"/>
      <c r="B49" s="1637"/>
      <c r="C49" s="1637"/>
      <c r="D49" s="352"/>
      <c r="K49" s="1161"/>
      <c r="L49" s="1637"/>
      <c r="M49" s="1637"/>
      <c r="N49" s="1161"/>
      <c r="O49" s="1161"/>
      <c r="P49" s="1161"/>
      <c r="Q49" s="1161"/>
      <c r="R49" s="1637"/>
      <c r="S49" s="1161"/>
      <c r="T49" s="1161"/>
      <c r="U49" s="545"/>
      <c r="V49" s="1161"/>
      <c r="W49" s="1161"/>
      <c r="X49" s="1161"/>
      <c r="Y49" s="1161"/>
      <c r="Z49" s="1161"/>
      <c r="AA49" s="1633"/>
      <c r="AB49" s="567"/>
      <c r="AC49" s="567"/>
      <c r="AD49" s="567"/>
      <c r="AE49" s="567"/>
      <c r="AF49" s="1642">
        <v>11</v>
      </c>
    </row>
    <row s="1642" customFormat="1" customHeight="1" ht="11.549999999999999">
      <c r="A50" s="988"/>
      <c r="B50" s="1637"/>
      <c r="C50" s="1637"/>
      <c r="D50" s="352"/>
      <c r="H50" s="567"/>
      <c r="I50" s="567"/>
      <c r="K50" s="1161"/>
      <c r="L50" s="1637"/>
      <c r="M50" s="1637"/>
      <c r="N50" s="1161"/>
      <c r="O50" s="1161"/>
      <c r="P50" s="1161"/>
      <c r="Q50" s="1161"/>
      <c r="R50" s="1637"/>
      <c r="S50" s="1161"/>
      <c r="T50" s="1161"/>
      <c r="U50" s="545"/>
      <c r="V50" s="1161"/>
      <c r="W50" s="1161"/>
      <c r="X50" s="1161"/>
      <c r="Y50" s="1161"/>
      <c r="Z50" s="1161"/>
      <c r="AA50" s="1633"/>
      <c r="AB50" s="567"/>
      <c r="AC50" s="567"/>
      <c r="AD50" s="567"/>
      <c r="AE50" s="567"/>
      <c r="AF50" s="1642">
        <v>11</v>
      </c>
    </row>
    <row s="1642" customFormat="1" customHeight="1" ht="11.549999999999999">
      <c r="A51" s="988"/>
      <c r="B51" s="1637"/>
      <c r="C51" s="1637"/>
      <c r="D51" s="352"/>
      <c r="K51" s="1161"/>
      <c r="L51" s="1637"/>
      <c r="M51" s="1637"/>
      <c r="N51" s="1161"/>
      <c r="O51" s="1161"/>
      <c r="P51" s="1161"/>
      <c r="Q51" s="1161"/>
      <c r="R51" s="1637"/>
      <c r="S51" s="1161"/>
      <c r="T51" s="1161"/>
      <c r="U51" s="545"/>
      <c r="V51" s="1161"/>
      <c r="W51" s="1161"/>
      <c r="X51" s="1161"/>
      <c r="Y51" s="1161"/>
      <c r="Z51" s="1161"/>
      <c r="AA51" s="1633"/>
      <c r="AB51" s="567"/>
      <c r="AC51" s="567"/>
      <c r="AD51" s="567"/>
      <c r="AE51" s="567"/>
      <c r="AF51" s="1642">
        <v>11</v>
      </c>
    </row>
    <row s="1642" customFormat="1" customHeight="1" ht="11.549999999999999">
      <c r="A52" s="988"/>
      <c r="B52" s="1637"/>
      <c r="C52" s="1637"/>
      <c r="D52" s="352"/>
      <c r="K52" s="1161"/>
      <c r="L52" s="1637"/>
      <c r="M52" s="1637"/>
      <c r="N52" s="1161"/>
      <c r="O52" s="1161"/>
      <c r="P52" s="1161"/>
      <c r="Q52" s="1161"/>
      <c r="R52" s="1637"/>
      <c r="S52" s="1161"/>
      <c r="T52" s="1161"/>
      <c r="U52" s="545"/>
      <c r="V52" s="1161"/>
      <c r="W52" s="1161"/>
      <c r="X52" s="1161"/>
      <c r="Y52" s="1161"/>
      <c r="Z52" s="1161"/>
      <c r="AA52" s="1633"/>
      <c r="AB52" s="567"/>
      <c r="AC52" s="567"/>
      <c r="AD52" s="567"/>
      <c r="AE52" s="567"/>
      <c r="AF52" s="1642">
        <v>11</v>
      </c>
    </row>
    <row s="1642" customFormat="1" customHeight="1" ht="11.549999999999999">
      <c r="A53" s="988"/>
      <c r="B53" s="1637"/>
      <c r="C53" s="1637"/>
      <c r="D53" s="352"/>
      <c r="K53" s="1161"/>
      <c r="L53" s="1637"/>
      <c r="M53" s="1637"/>
      <c r="N53" s="1161"/>
      <c r="O53" s="1161"/>
      <c r="P53" s="1161"/>
      <c r="Q53" s="1161"/>
      <c r="R53" s="1637"/>
      <c r="S53" s="1161"/>
      <c r="T53" s="1161"/>
      <c r="U53" s="545"/>
      <c r="V53" s="1161"/>
      <c r="W53" s="1161"/>
      <c r="X53" s="1161"/>
      <c r="Y53" s="1161"/>
      <c r="Z53" s="1161"/>
      <c r="AA53" s="1633"/>
      <c r="AB53" s="567"/>
      <c r="AC53" s="567"/>
      <c r="AD53" s="567"/>
      <c r="AE53" s="567"/>
      <c r="AF53" s="1642">
        <v>11</v>
      </c>
    </row>
    <row s="1642" customFormat="1" customHeight="1" ht="11.549999999999999">
      <c r="A54" s="988"/>
      <c r="B54" s="1637"/>
      <c r="C54" s="1637"/>
      <c r="D54" s="352"/>
      <c r="K54" s="1161"/>
      <c r="L54" s="1637"/>
      <c r="M54" s="1637"/>
      <c r="N54" s="1161"/>
      <c r="O54" s="1161"/>
      <c r="P54" s="1161"/>
      <c r="Q54" s="1161"/>
      <c r="R54" s="1637"/>
      <c r="S54" s="1161"/>
      <c r="T54" s="1161"/>
      <c r="U54" s="545"/>
      <c r="V54" s="1161"/>
      <c r="W54" s="1161"/>
      <c r="X54" s="1161"/>
      <c r="Y54" s="1161"/>
      <c r="Z54" s="1161"/>
      <c r="AA54" s="1633"/>
      <c r="AB54" s="567"/>
      <c r="AC54" s="567"/>
      <c r="AD54" s="567"/>
      <c r="AE54" s="567"/>
      <c r="AF54" s="1642">
        <v>11</v>
      </c>
    </row>
    <row s="1642" customFormat="1" customHeight="1" ht="11.549999999999999">
      <c r="A55" s="988"/>
      <c r="B55" s="1637"/>
      <c r="C55" s="1637"/>
      <c r="D55" s="352"/>
      <c r="K55" s="1161"/>
      <c r="L55" s="1637"/>
      <c r="M55" s="1637"/>
      <c r="N55" s="1161"/>
      <c r="O55" s="1161"/>
      <c r="P55" s="1161"/>
      <c r="Q55" s="1161"/>
      <c r="R55" s="1637"/>
      <c r="S55" s="1161"/>
      <c r="T55" s="1161"/>
      <c r="U55" s="545"/>
      <c r="V55" s="1161"/>
      <c r="W55" s="1161"/>
      <c r="X55" s="1161"/>
      <c r="Y55" s="1161"/>
      <c r="Z55" s="1161"/>
      <c r="AA55" s="1633"/>
      <c r="AB55" s="567"/>
      <c r="AC55" s="567"/>
      <c r="AD55" s="567"/>
      <c r="AE55" s="567"/>
      <c r="AF55" s="1642">
        <v>11</v>
      </c>
    </row>
    <row s="1642" customFormat="1" customHeight="1" ht="11.549999999999999">
      <c r="A56" s="988"/>
      <c r="B56" s="1637"/>
      <c r="C56" s="1637"/>
      <c r="D56" s="352"/>
      <c r="K56" s="1161"/>
      <c r="L56" s="1637"/>
      <c r="M56" s="1637"/>
      <c r="N56" s="1161"/>
      <c r="O56" s="1161"/>
      <c r="P56" s="1161"/>
      <c r="Q56" s="1161"/>
      <c r="R56" s="1637"/>
      <c r="S56" s="1161"/>
      <c r="T56" s="1161"/>
      <c r="U56" s="545"/>
      <c r="V56" s="1161"/>
      <c r="W56" s="1161"/>
      <c r="X56" s="1161"/>
      <c r="Y56" s="1161"/>
      <c r="Z56" s="1161"/>
      <c r="AA56" s="1633"/>
      <c r="AB56" s="567"/>
      <c r="AC56" s="567"/>
      <c r="AD56" s="567"/>
      <c r="AE56" s="567"/>
      <c r="AF56" s="1642">
        <v>11</v>
      </c>
    </row>
    <row s="1642" customFormat="1" customHeight="1" ht="11.549999999999999">
      <c r="A57" s="988"/>
      <c r="B57" s="1637"/>
      <c r="C57" s="1637"/>
      <c r="D57" s="352"/>
      <c r="K57" s="1161"/>
      <c r="L57" s="1637"/>
      <c r="M57" s="1637"/>
      <c r="N57" s="1161"/>
      <c r="O57" s="1161"/>
      <c r="P57" s="1161"/>
      <c r="Q57" s="1161"/>
      <c r="R57" s="1637"/>
      <c r="S57" s="1161"/>
      <c r="T57" s="1161"/>
      <c r="U57" s="545"/>
      <c r="V57" s="1161"/>
      <c r="W57" s="1161"/>
      <c r="X57" s="1161"/>
      <c r="Y57" s="1161"/>
      <c r="Z57" s="1161"/>
      <c r="AA57" s="1633"/>
      <c r="AB57" s="567"/>
      <c r="AC57" s="567"/>
      <c r="AD57" s="567"/>
      <c r="AE57" s="567"/>
      <c r="AF57" s="1642">
        <v>11</v>
      </c>
    </row>
    <row s="1642" customFormat="1" customHeight="1" ht="11.549999999999999">
      <c r="A58" s="988"/>
      <c r="B58" s="1637"/>
      <c r="C58" s="1637"/>
      <c r="D58" s="352"/>
      <c r="K58" s="1161"/>
      <c r="L58" s="1637"/>
      <c r="M58" s="1637"/>
      <c r="N58" s="1161"/>
      <c r="O58" s="1161"/>
      <c r="P58" s="1161"/>
      <c r="Q58" s="1161"/>
      <c r="R58" s="1637"/>
      <c r="S58" s="1161"/>
      <c r="T58" s="1161"/>
      <c r="U58" s="545"/>
      <c r="V58" s="1161"/>
      <c r="W58" s="1161"/>
      <c r="X58" s="1161"/>
      <c r="Y58" s="1161"/>
      <c r="Z58" s="1161"/>
      <c r="AA58" s="1633"/>
      <c r="AB58" s="567"/>
      <c r="AC58" s="567"/>
      <c r="AD58" s="567"/>
      <c r="AE58" s="567"/>
      <c r="AF58" s="1642">
        <v>11</v>
      </c>
    </row>
    <row s="1642" customFormat="1" customHeight="1" ht="11.549999999999999">
      <c r="A59" s="988"/>
      <c r="B59" s="1637"/>
      <c r="C59" s="1637"/>
      <c r="D59" s="352"/>
      <c r="K59" s="1161"/>
      <c r="L59" s="1637"/>
      <c r="M59" s="1637"/>
      <c r="N59" s="1161"/>
      <c r="O59" s="1161"/>
      <c r="P59" s="1161"/>
      <c r="Q59" s="1161"/>
      <c r="R59" s="1637"/>
      <c r="S59" s="1161"/>
      <c r="T59" s="1161"/>
      <c r="U59" s="545"/>
      <c r="V59" s="1161"/>
      <c r="W59" s="1161"/>
      <c r="X59" s="1161"/>
      <c r="Y59" s="1161"/>
      <c r="Z59" s="1161"/>
      <c r="AA59" s="1633"/>
      <c r="AB59" s="567"/>
      <c r="AC59" s="567"/>
      <c r="AD59" s="567"/>
      <c r="AE59" s="567"/>
      <c r="AF59" s="1642">
        <v>11</v>
      </c>
    </row>
    <row s="1642" customFormat="1" customHeight="1" ht="11.549999999999999">
      <c r="A60" s="988"/>
      <c r="B60" s="1637"/>
      <c r="C60" s="1637"/>
      <c r="D60" s="352"/>
      <c r="K60" s="1161"/>
      <c r="L60" s="1637"/>
      <c r="M60" s="1637"/>
      <c r="N60" s="1161"/>
      <c r="O60" s="1161"/>
      <c r="P60" s="1161"/>
      <c r="Q60" s="1161"/>
      <c r="R60" s="1637"/>
      <c r="S60" s="1161"/>
      <c r="T60" s="1161"/>
      <c r="U60" s="545"/>
      <c r="V60" s="1161"/>
      <c r="W60" s="1161"/>
      <c r="X60" s="1161"/>
      <c r="Y60" s="1161"/>
      <c r="Z60" s="1161"/>
      <c r="AA60" s="1633"/>
      <c r="AB60" s="567"/>
      <c r="AC60" s="567"/>
      <c r="AD60" s="567"/>
      <c r="AE60" s="567"/>
      <c r="AF60" s="1642">
        <v>11</v>
      </c>
    </row>
    <row s="1642" customFormat="1" customHeight="1" ht="11.549999999999999">
      <c r="A61" s="988"/>
      <c r="B61" s="1637"/>
      <c r="C61" s="1637"/>
      <c r="D61" s="352"/>
      <c r="K61" s="1161"/>
      <c r="L61" s="1637"/>
      <c r="M61" s="1637"/>
      <c r="N61" s="1161"/>
      <c r="O61" s="1161"/>
      <c r="P61" s="1161"/>
      <c r="Q61" s="1161"/>
      <c r="R61" s="1637"/>
      <c r="S61" s="1161"/>
      <c r="T61" s="1161"/>
      <c r="U61" s="545"/>
      <c r="V61" s="1161"/>
      <c r="W61" s="1161"/>
      <c r="X61" s="1161"/>
      <c r="Y61" s="1161"/>
      <c r="Z61" s="1161"/>
      <c r="AA61" s="1633"/>
      <c r="AB61" s="567"/>
      <c r="AC61" s="567"/>
      <c r="AD61" s="567"/>
      <c r="AE61" s="567"/>
      <c r="AF61" s="1642">
        <v>11</v>
      </c>
    </row>
    <row s="1642" customFormat="1" customHeight="1" ht="11.549999999999999">
      <c r="A62" s="988"/>
      <c r="B62" s="1637"/>
      <c r="C62" s="1637"/>
      <c r="D62" s="352"/>
      <c r="K62" s="1161"/>
      <c r="L62" s="1637"/>
      <c r="M62" s="1637"/>
      <c r="N62" s="1161"/>
      <c r="O62" s="1161"/>
      <c r="P62" s="1161"/>
      <c r="Q62" s="1161"/>
      <c r="R62" s="1637"/>
      <c r="S62" s="1161"/>
      <c r="T62" s="1161"/>
      <c r="U62" s="545"/>
      <c r="V62" s="1161"/>
      <c r="W62" s="1161"/>
      <c r="X62" s="1161"/>
      <c r="Y62" s="1161"/>
      <c r="Z62" s="1161"/>
      <c r="AA62" s="1633"/>
      <c r="AB62" s="567"/>
      <c r="AC62" s="567"/>
      <c r="AD62" s="567"/>
      <c r="AE62" s="567"/>
      <c r="AF62" s="1642">
        <v>11</v>
      </c>
    </row>
    <row s="1642" customFormat="1" customHeight="1" ht="11.549999999999999">
      <c r="A63" s="988"/>
      <c r="B63" s="1637"/>
      <c r="C63" s="1637"/>
      <c r="D63" s="352"/>
      <c r="K63" s="1161"/>
      <c r="L63" s="1637"/>
      <c r="M63" s="1637"/>
      <c r="N63" s="1161"/>
      <c r="O63" s="1161"/>
      <c r="P63" s="1161"/>
      <c r="Q63" s="1161"/>
      <c r="R63" s="1637"/>
      <c r="S63" s="1161"/>
      <c r="T63" s="1161"/>
      <c r="U63" s="545"/>
      <c r="V63" s="1161"/>
      <c r="W63" s="1161"/>
      <c r="X63" s="1161"/>
      <c r="Y63" s="1161"/>
      <c r="Z63" s="1161"/>
      <c r="AA63" s="1633"/>
      <c r="AB63" s="567"/>
      <c r="AC63" s="567"/>
      <c r="AD63" s="567"/>
      <c r="AE63" s="567"/>
      <c r="AF63" s="1642">
        <v>11</v>
      </c>
    </row>
    <row s="1642" customFormat="1" customHeight="1" ht="11.549999999999999">
      <c r="A64" s="988"/>
      <c r="B64" s="1637"/>
      <c r="C64" s="1637"/>
      <c r="D64" s="352"/>
      <c r="K64" s="1161"/>
      <c r="L64" s="1637"/>
      <c r="M64" s="1637"/>
      <c r="N64" s="1161"/>
      <c r="O64" s="1161"/>
      <c r="P64" s="1161"/>
      <c r="Q64" s="1161"/>
      <c r="R64" s="1637"/>
      <c r="S64" s="1161"/>
      <c r="T64" s="1161"/>
      <c r="U64" s="545"/>
      <c r="V64" s="1161"/>
      <c r="W64" s="1161"/>
      <c r="X64" s="1161"/>
      <c r="Y64" s="1161"/>
      <c r="Z64" s="1161"/>
      <c r="AA64" s="1633"/>
      <c r="AB64" s="567"/>
      <c r="AC64" s="567"/>
      <c r="AD64" s="567"/>
      <c r="AE64" s="567"/>
      <c r="AF64" s="1642">
        <v>11</v>
      </c>
    </row>
    <row s="1642" customFormat="1" customHeight="1" ht="11.549999999999999">
      <c r="A65" s="988"/>
      <c r="B65" s="1637"/>
      <c r="C65" s="1637"/>
      <c r="D65" s="352"/>
      <c r="K65" s="1161"/>
      <c r="L65" s="1637"/>
      <c r="M65" s="1637"/>
      <c r="N65" s="1161"/>
      <c r="O65" s="1161"/>
      <c r="P65" s="1161"/>
      <c r="Q65" s="1161"/>
      <c r="R65" s="1637"/>
      <c r="S65" s="1161"/>
      <c r="T65" s="1161"/>
      <c r="U65" s="545"/>
      <c r="V65" s="1161"/>
      <c r="W65" s="1161"/>
      <c r="X65" s="1161"/>
      <c r="Y65" s="1161"/>
      <c r="Z65" s="1161"/>
      <c r="AA65" s="1633"/>
      <c r="AB65" s="567"/>
      <c r="AC65" s="567"/>
      <c r="AD65" s="567"/>
      <c r="AE65" s="567"/>
      <c r="AF65" s="1642">
        <v>11</v>
      </c>
    </row>
    <row s="1642" customFormat="1" customHeight="1" ht="11.549999999999999">
      <c r="A66" s="988"/>
      <c r="B66" s="1637"/>
      <c r="C66" s="1637"/>
      <c r="D66" s="352"/>
      <c r="K66" s="1161"/>
      <c r="L66" s="1637"/>
      <c r="M66" s="1637"/>
      <c r="N66" s="1161"/>
      <c r="O66" s="1161"/>
      <c r="P66" s="1161"/>
      <c r="Q66" s="1161"/>
      <c r="R66" s="1637"/>
      <c r="S66" s="1161"/>
      <c r="T66" s="1161"/>
      <c r="U66" s="545"/>
      <c r="V66" s="1161"/>
      <c r="W66" s="1161"/>
      <c r="X66" s="1161"/>
      <c r="Y66" s="1161"/>
      <c r="Z66" s="1161"/>
      <c r="AA66" s="1633"/>
      <c r="AB66" s="567"/>
      <c r="AC66" s="567"/>
      <c r="AD66" s="567"/>
      <c r="AE66" s="567"/>
      <c r="AF66" s="1642">
        <v>11</v>
      </c>
    </row>
    <row s="1642" customFormat="1" customHeight="1" ht="11.549999999999999">
      <c r="A67" s="988"/>
      <c r="B67" s="1637"/>
      <c r="C67" s="1637"/>
      <c r="D67" s="352"/>
      <c r="K67" s="1161"/>
      <c r="L67" s="1637"/>
      <c r="M67" s="1637"/>
      <c r="N67" s="1161"/>
      <c r="O67" s="1161"/>
      <c r="P67" s="1161"/>
      <c r="Q67" s="1161"/>
      <c r="R67" s="1637"/>
      <c r="S67" s="1161"/>
      <c r="T67" s="1161"/>
      <c r="U67" s="545"/>
      <c r="V67" s="1161"/>
      <c r="W67" s="1161"/>
      <c r="X67" s="1161"/>
      <c r="Y67" s="1161"/>
      <c r="Z67" s="1161"/>
      <c r="AA67" s="1633"/>
      <c r="AB67" s="567"/>
      <c r="AC67" s="567"/>
      <c r="AD67" s="567"/>
      <c r="AE67" s="567"/>
      <c r="AF67" s="1642">
        <v>11</v>
      </c>
    </row>
    <row s="1642" customFormat="1" customHeight="1" ht="11.549999999999999">
      <c r="A68" s="988"/>
      <c r="B68" s="1637"/>
      <c r="C68" s="1637"/>
      <c r="D68" s="352"/>
      <c r="K68" s="1161"/>
      <c r="L68" s="1637"/>
      <c r="M68" s="1637"/>
      <c r="N68" s="1161"/>
      <c r="O68" s="1161"/>
      <c r="P68" s="1161"/>
      <c r="Q68" s="1161"/>
      <c r="R68" s="1637"/>
      <c r="S68" s="1161"/>
      <c r="T68" s="1161"/>
      <c r="U68" s="545"/>
      <c r="V68" s="1161"/>
      <c r="W68" s="1161"/>
      <c r="X68" s="1161"/>
      <c r="Y68" s="1161"/>
      <c r="Z68" s="1161"/>
      <c r="AA68" s="1633"/>
      <c r="AB68" s="567"/>
      <c r="AC68" s="567"/>
      <c r="AD68" s="567"/>
      <c r="AE68" s="567"/>
      <c r="AF68" s="1642">
        <v>11</v>
      </c>
    </row>
    <row s="1642" customFormat="1" customHeight="1" ht="11.549999999999999">
      <c r="A69" s="988"/>
      <c r="B69" s="1637"/>
      <c r="C69" s="1637"/>
      <c r="D69" s="352"/>
      <c r="K69" s="1161"/>
      <c r="L69" s="1637"/>
      <c r="M69" s="1637"/>
      <c r="N69" s="1161"/>
      <c r="O69" s="1161"/>
      <c r="P69" s="1161"/>
      <c r="Q69" s="1161"/>
      <c r="R69" s="1637"/>
      <c r="S69" s="1161"/>
      <c r="T69" s="1161"/>
      <c r="U69" s="545"/>
      <c r="V69" s="1161"/>
      <c r="W69" s="1161"/>
      <c r="X69" s="1161"/>
      <c r="Y69" s="1161"/>
      <c r="Z69" s="1161"/>
      <c r="AA69" s="1633"/>
      <c r="AB69" s="567"/>
      <c r="AC69" s="567"/>
      <c r="AD69" s="567"/>
      <c r="AE69" s="567"/>
      <c r="AF69" s="1642">
        <v>11</v>
      </c>
    </row>
    <row s="1642" customFormat="1" customHeight="1" ht="11.549999999999999">
      <c r="A70" s="988"/>
      <c r="B70" s="1637"/>
      <c r="C70" s="1637"/>
      <c r="D70" s="352"/>
      <c r="K70" s="1161"/>
      <c r="L70" s="1637"/>
      <c r="M70" s="1637"/>
      <c r="N70" s="1161"/>
      <c r="O70" s="1161"/>
      <c r="P70" s="1161"/>
      <c r="Q70" s="1161"/>
      <c r="R70" s="1637"/>
      <c r="S70" s="1161"/>
      <c r="T70" s="1161"/>
      <c r="U70" s="545"/>
      <c r="V70" s="1161"/>
      <c r="W70" s="1161"/>
      <c r="X70" s="1161"/>
      <c r="Y70" s="1161"/>
      <c r="Z70" s="1161"/>
      <c r="AA70" s="1633"/>
      <c r="AB70" s="567"/>
      <c r="AC70" s="567"/>
      <c r="AD70" s="567"/>
      <c r="AE70" s="567"/>
      <c r="AF70" s="1642">
        <v>11</v>
      </c>
    </row>
    <row s="1642" customFormat="1" customHeight="1" ht="11.549999999999999">
      <c r="A71" s="988"/>
      <c r="B71" s="1637"/>
      <c r="C71" s="1637"/>
      <c r="D71" s="352"/>
      <c r="K71" s="1161"/>
      <c r="L71" s="1637"/>
      <c r="M71" s="1637"/>
      <c r="N71" s="1161"/>
      <c r="O71" s="1161"/>
      <c r="P71" s="1161"/>
      <c r="Q71" s="1161"/>
      <c r="R71" s="1637"/>
      <c r="S71" s="1161"/>
      <c r="T71" s="1161"/>
      <c r="U71" s="545"/>
      <c r="V71" s="1161"/>
      <c r="W71" s="1161"/>
      <c r="X71" s="1161"/>
      <c r="Y71" s="1161"/>
      <c r="Z71" s="1161"/>
      <c r="AA71" s="1633"/>
      <c r="AB71" s="567"/>
      <c r="AC71" s="567"/>
      <c r="AD71" s="567"/>
      <c r="AE71" s="567"/>
      <c r="AF71" s="1642">
        <v>11</v>
      </c>
    </row>
    <row s="1642" customFormat="1" customHeight="1" ht="11.549999999999999">
      <c r="A72" s="988"/>
      <c r="B72" s="1637"/>
      <c r="C72" s="1637"/>
      <c r="D72" s="352"/>
      <c r="K72" s="1161"/>
      <c r="L72" s="1637"/>
      <c r="M72" s="1637"/>
      <c r="N72" s="1161"/>
      <c r="O72" s="1161"/>
      <c r="P72" s="1161"/>
      <c r="Q72" s="1161"/>
      <c r="R72" s="1637"/>
      <c r="S72" s="1161"/>
      <c r="T72" s="1161"/>
      <c r="U72" s="545"/>
      <c r="V72" s="1161"/>
      <c r="W72" s="1161"/>
      <c r="X72" s="1161"/>
      <c r="Y72" s="1161"/>
      <c r="Z72" s="1161"/>
      <c r="AA72" s="1633"/>
      <c r="AB72" s="567"/>
      <c r="AC72" s="567"/>
      <c r="AD72" s="567"/>
      <c r="AE72" s="567"/>
      <c r="AF72" s="1642">
        <v>11</v>
      </c>
    </row>
    <row s="1642" customFormat="1" customHeight="1" ht="11.549999999999999">
      <c r="A73" s="988"/>
      <c r="B73" s="1637"/>
      <c r="C73" s="1637"/>
      <c r="D73" s="352"/>
      <c r="K73" s="1161"/>
      <c r="L73" s="1637"/>
      <c r="M73" s="1637"/>
      <c r="N73" s="1161"/>
      <c r="O73" s="1161"/>
      <c r="P73" s="1161"/>
      <c r="Q73" s="1161"/>
      <c r="R73" s="1637"/>
      <c r="S73" s="1161"/>
      <c r="T73" s="1161"/>
      <c r="U73" s="545"/>
      <c r="V73" s="1161"/>
      <c r="W73" s="1161"/>
      <c r="X73" s="1161"/>
      <c r="Y73" s="1161"/>
      <c r="Z73" s="1161"/>
      <c r="AA73" s="1633"/>
      <c r="AB73" s="567"/>
      <c r="AC73" s="567"/>
      <c r="AD73" s="567"/>
      <c r="AE73" s="567"/>
      <c r="AF73" s="1642">
        <v>11</v>
      </c>
    </row>
    <row s="1642" customFormat="1" customHeight="1" ht="11.549999999999999">
      <c r="A74" s="988"/>
      <c r="B74" s="1637"/>
      <c r="C74" s="1637"/>
      <c r="D74" s="352"/>
      <c r="K74" s="1161"/>
      <c r="L74" s="1637"/>
      <c r="M74" s="1637"/>
      <c r="N74" s="1161"/>
      <c r="O74" s="1161"/>
      <c r="P74" s="1161"/>
      <c r="Q74" s="1161"/>
      <c r="R74" s="1637"/>
      <c r="S74" s="1161"/>
      <c r="T74" s="1161"/>
      <c r="U74" s="545"/>
      <c r="V74" s="1161"/>
      <c r="W74" s="1161"/>
      <c r="X74" s="1161"/>
      <c r="Y74" s="1161"/>
      <c r="Z74" s="1161"/>
      <c r="AA74" s="1633"/>
      <c r="AB74" s="567"/>
      <c r="AC74" s="567"/>
      <c r="AD74" s="567"/>
      <c r="AE74" s="567"/>
      <c r="AF74" s="1642">
        <v>11</v>
      </c>
    </row>
    <row s="1642" customFormat="1" customHeight="1" ht="11.549999999999999">
      <c r="A75" s="988"/>
      <c r="B75" s="1637"/>
      <c r="C75" s="1637"/>
      <c r="D75" s="352"/>
      <c r="K75" s="1161"/>
      <c r="L75" s="1637"/>
      <c r="M75" s="1637"/>
      <c r="N75" s="1161"/>
      <c r="O75" s="1161"/>
      <c r="P75" s="1161"/>
      <c r="Q75" s="1161"/>
      <c r="R75" s="1637"/>
      <c r="S75" s="1161"/>
      <c r="T75" s="1161"/>
      <c r="U75" s="545"/>
      <c r="V75" s="1161"/>
      <c r="W75" s="1161"/>
      <c r="X75" s="1161"/>
      <c r="Y75" s="1161"/>
      <c r="Z75" s="1161"/>
      <c r="AA75" s="1633"/>
      <c r="AB75" s="567"/>
      <c r="AC75" s="567"/>
      <c r="AD75" s="567"/>
      <c r="AE75" s="567"/>
      <c r="AF75" s="1642">
        <v>11</v>
      </c>
    </row>
    <row s="1642" customFormat="1" customHeight="1" ht="11.549999999999999">
      <c r="A76" s="988"/>
      <c r="B76" s="1637"/>
      <c r="C76" s="1637"/>
      <c r="D76" s="352"/>
      <c r="K76" s="1161"/>
      <c r="L76" s="1637"/>
      <c r="M76" s="1637"/>
      <c r="N76" s="1161"/>
      <c r="O76" s="1161"/>
      <c r="P76" s="1161"/>
      <c r="Q76" s="1161"/>
      <c r="R76" s="1637"/>
      <c r="S76" s="1161"/>
      <c r="T76" s="1161"/>
      <c r="U76" s="545"/>
      <c r="V76" s="1161"/>
      <c r="W76" s="1161"/>
      <c r="X76" s="1161"/>
      <c r="Y76" s="1161"/>
      <c r="Z76" s="1161"/>
      <c r="AA76" s="1633"/>
      <c r="AB76" s="567"/>
      <c r="AC76" s="567"/>
      <c r="AD76" s="567"/>
      <c r="AE76" s="567"/>
      <c r="AF76" s="1642">
        <v>11</v>
      </c>
    </row>
    <row s="1642" customFormat="1" customHeight="1" ht="11.549999999999999">
      <c r="A77" s="988"/>
      <c r="B77" s="1637"/>
      <c r="C77" s="1637"/>
      <c r="D77" s="352"/>
      <c r="K77" s="1161"/>
      <c r="L77" s="1637"/>
      <c r="M77" s="1637"/>
      <c r="N77" s="1161"/>
      <c r="O77" s="1161"/>
      <c r="P77" s="1161"/>
      <c r="Q77" s="1161"/>
      <c r="R77" s="1637"/>
      <c r="S77" s="1161"/>
      <c r="T77" s="1161"/>
      <c r="U77" s="545"/>
      <c r="V77" s="1161"/>
      <c r="W77" s="1161"/>
      <c r="X77" s="1161"/>
      <c r="Y77" s="1161"/>
      <c r="Z77" s="1161"/>
      <c r="AA77" s="1633"/>
      <c r="AB77" s="567"/>
      <c r="AC77" s="567"/>
      <c r="AD77" s="567"/>
      <c r="AE77" s="567"/>
      <c r="AF77" s="1642">
        <v>11</v>
      </c>
    </row>
    <row s="1642" customFormat="1" customHeight="1" ht="11.549999999999999">
      <c r="A78" s="988"/>
      <c r="B78" s="1637"/>
      <c r="C78" s="1637"/>
      <c r="D78" s="352"/>
      <c r="K78" s="1161"/>
      <c r="L78" s="1637"/>
      <c r="M78" s="1637"/>
      <c r="N78" s="1161"/>
      <c r="O78" s="1161"/>
      <c r="P78" s="1161"/>
      <c r="Q78" s="1161"/>
      <c r="R78" s="1637"/>
      <c r="S78" s="1161"/>
      <c r="T78" s="1161"/>
      <c r="U78" s="545"/>
      <c r="V78" s="1161"/>
      <c r="W78" s="1161"/>
      <c r="X78" s="1161"/>
      <c r="Y78" s="1161"/>
      <c r="Z78" s="1161"/>
      <c r="AA78" s="1633"/>
      <c r="AB78" s="567"/>
      <c r="AC78" s="567"/>
      <c r="AD78" s="567"/>
      <c r="AE78" s="567"/>
      <c r="AF78" s="1642">
        <v>11</v>
      </c>
    </row>
    <row s="1642" customFormat="1" customHeight="1" ht="11.549999999999999">
      <c r="A79" s="988"/>
      <c r="B79" s="1637"/>
      <c r="C79" s="1637"/>
      <c r="D79" s="352"/>
      <c r="K79" s="1161"/>
      <c r="L79" s="1637"/>
      <c r="M79" s="1637"/>
      <c r="N79" s="1161"/>
      <c r="O79" s="1161"/>
      <c r="P79" s="1161"/>
      <c r="Q79" s="1161"/>
      <c r="R79" s="1637"/>
      <c r="S79" s="1161"/>
      <c r="T79" s="1161"/>
      <c r="U79" s="545"/>
      <c r="V79" s="1161"/>
      <c r="W79" s="1161"/>
      <c r="X79" s="1161"/>
      <c r="Y79" s="1161"/>
      <c r="Z79" s="1161"/>
      <c r="AA79" s="1633"/>
      <c r="AB79" s="567"/>
      <c r="AC79" s="567"/>
      <c r="AD79" s="567"/>
      <c r="AE79" s="567"/>
      <c r="AF79" s="1642">
        <v>11</v>
      </c>
    </row>
    <row s="1642" customFormat="1" customHeight="1" ht="11.549999999999999">
      <c r="A80" s="988"/>
      <c r="B80" s="1637"/>
      <c r="C80" s="1637"/>
      <c r="D80" s="352"/>
      <c r="K80" s="1161"/>
      <c r="L80" s="1637"/>
      <c r="M80" s="1637"/>
      <c r="N80" s="1161"/>
      <c r="O80" s="1161"/>
      <c r="P80" s="1161"/>
      <c r="Q80" s="1161"/>
      <c r="R80" s="1637"/>
      <c r="S80" s="1161"/>
      <c r="T80" s="1161"/>
      <c r="U80" s="545"/>
      <c r="V80" s="1161"/>
      <c r="W80" s="1161"/>
      <c r="X80" s="1161"/>
      <c r="Y80" s="1161"/>
      <c r="Z80" s="1161"/>
      <c r="AA80" s="1633"/>
      <c r="AB80" s="567"/>
      <c r="AC80" s="567"/>
      <c r="AD80" s="567"/>
      <c r="AE80" s="567"/>
      <c r="AF80" s="1642">
        <v>11</v>
      </c>
    </row>
    <row s="1642" customFormat="1" customHeight="1" ht="11.549999999999999">
      <c r="A81" s="988"/>
      <c r="B81" s="1637"/>
      <c r="C81" s="1637"/>
      <c r="D81" s="352"/>
      <c r="K81" s="1161"/>
      <c r="L81" s="1637"/>
      <c r="M81" s="1637"/>
      <c r="N81" s="1161"/>
      <c r="O81" s="1161"/>
      <c r="P81" s="1161"/>
      <c r="Q81" s="1161"/>
      <c r="R81" s="1637"/>
      <c r="S81" s="1161"/>
      <c r="T81" s="1161"/>
      <c r="U81" s="545"/>
      <c r="V81" s="1161"/>
      <c r="W81" s="1161"/>
      <c r="X81" s="1161"/>
      <c r="Y81" s="1161"/>
      <c r="Z81" s="1161"/>
      <c r="AA81" s="1633"/>
      <c r="AB81" s="567"/>
      <c r="AC81" s="567"/>
      <c r="AD81" s="567"/>
      <c r="AE81" s="567"/>
      <c r="AF81" s="1642">
        <v>11</v>
      </c>
    </row>
    <row s="1642" customFormat="1" customHeight="1" ht="11.549999999999999">
      <c r="A82" s="988"/>
      <c r="B82" s="1637"/>
      <c r="C82" s="1637"/>
      <c r="D82" s="352"/>
      <c r="K82" s="1161"/>
      <c r="L82" s="1637"/>
      <c r="M82" s="1637"/>
      <c r="N82" s="1161"/>
      <c r="O82" s="1161"/>
      <c r="P82" s="1161"/>
      <c r="Q82" s="1161"/>
      <c r="R82" s="1637"/>
      <c r="S82" s="1161"/>
      <c r="T82" s="1161"/>
      <c r="U82" s="545"/>
      <c r="V82" s="1161"/>
      <c r="W82" s="1161"/>
      <c r="X82" s="1161"/>
      <c r="Y82" s="1161"/>
      <c r="Z82" s="1161"/>
      <c r="AA82" s="1633"/>
      <c r="AB82" s="567"/>
      <c r="AC82" s="567"/>
      <c r="AD82" s="567"/>
      <c r="AE82" s="567"/>
      <c r="AF82" s="1642">
        <v>11</v>
      </c>
    </row>
    <row s="1642" customFormat="1" customHeight="1" ht="11.549999999999999">
      <c r="A83" s="988"/>
      <c r="B83" s="1637"/>
      <c r="C83" s="1637"/>
      <c r="D83" s="352"/>
      <c r="K83" s="1161"/>
      <c r="L83" s="1637"/>
      <c r="M83" s="1637"/>
      <c r="N83" s="1161"/>
      <c r="O83" s="1161"/>
      <c r="P83" s="1161"/>
      <c r="Q83" s="1161"/>
      <c r="R83" s="1637"/>
      <c r="S83" s="1161"/>
      <c r="T83" s="1161"/>
      <c r="U83" s="545"/>
      <c r="V83" s="1161"/>
      <c r="W83" s="1161"/>
      <c r="X83" s="1161"/>
      <c r="Y83" s="1161"/>
      <c r="Z83" s="1161"/>
      <c r="AA83" s="1633"/>
      <c r="AB83" s="567"/>
      <c r="AC83" s="567"/>
      <c r="AD83" s="567"/>
      <c r="AE83" s="567"/>
      <c r="AF83" s="1642">
        <v>11</v>
      </c>
    </row>
    <row s="1642" customFormat="1" customHeight="1" ht="11.549999999999999">
      <c r="A84" s="988"/>
      <c r="B84" s="1637"/>
      <c r="C84" s="1637"/>
      <c r="D84" s="352"/>
      <c r="K84" s="1161"/>
      <c r="L84" s="1637"/>
      <c r="M84" s="1637"/>
      <c r="N84" s="1161"/>
      <c r="O84" s="1161"/>
      <c r="P84" s="1161"/>
      <c r="Q84" s="1161"/>
      <c r="R84" s="1637"/>
      <c r="S84" s="1161"/>
      <c r="T84" s="1161"/>
      <c r="U84" s="545"/>
      <c r="V84" s="1161"/>
      <c r="W84" s="1161"/>
      <c r="X84" s="1161"/>
      <c r="Y84" s="1161"/>
      <c r="Z84" s="1161"/>
      <c r="AA84" s="1633"/>
      <c r="AB84" s="567"/>
      <c r="AC84" s="567"/>
      <c r="AD84" s="567"/>
      <c r="AE84" s="567"/>
      <c r="AF84" s="1642">
        <v>11</v>
      </c>
    </row>
    <row s="1642" customFormat="1" customHeight="1" ht="11.549999999999999">
      <c r="A85" s="988"/>
      <c r="B85" s="1637"/>
      <c r="C85" s="1637"/>
      <c r="D85" s="352"/>
      <c r="K85" s="1161"/>
      <c r="L85" s="1637"/>
      <c r="M85" s="1637"/>
      <c r="N85" s="1161"/>
      <c r="O85" s="1161"/>
      <c r="P85" s="1161"/>
      <c r="Q85" s="1161"/>
      <c r="R85" s="1637"/>
      <c r="S85" s="1161"/>
      <c r="T85" s="1161"/>
      <c r="U85" s="545"/>
      <c r="V85" s="1161"/>
      <c r="W85" s="1161"/>
      <c r="X85" s="1161"/>
      <c r="Y85" s="1161"/>
      <c r="Z85" s="1161"/>
      <c r="AA85" s="1633"/>
      <c r="AB85" s="567"/>
      <c r="AC85" s="567"/>
      <c r="AD85" s="567"/>
      <c r="AE85" s="567"/>
      <c r="AF85" s="1642">
        <v>11</v>
      </c>
    </row>
    <row s="1642" customFormat="1" customHeight="1" ht="11.549999999999999">
      <c r="A86" s="988"/>
      <c r="B86" s="1637"/>
      <c r="C86" s="1637"/>
      <c r="D86" s="352"/>
      <c r="K86" s="1161"/>
      <c r="L86" s="1637"/>
      <c r="M86" s="1637"/>
      <c r="N86" s="1161"/>
      <c r="O86" s="1161"/>
      <c r="P86" s="1161"/>
      <c r="Q86" s="1161"/>
      <c r="R86" s="1637"/>
      <c r="S86" s="1161"/>
      <c r="T86" s="1161"/>
      <c r="U86" s="545"/>
      <c r="V86" s="1161"/>
      <c r="W86" s="1161"/>
      <c r="X86" s="1161"/>
      <c r="Y86" s="1161"/>
      <c r="Z86" s="1161"/>
      <c r="AA86" s="1633"/>
      <c r="AB86" s="567"/>
      <c r="AC86" s="567"/>
      <c r="AD86" s="567"/>
      <c r="AE86" s="567"/>
      <c r="AF86" s="1642">
        <v>11</v>
      </c>
    </row>
    <row s="1642" customFormat="1" customHeight="1" ht="11.549999999999999">
      <c r="A87" s="988"/>
      <c r="B87" s="1637"/>
      <c r="C87" s="1637"/>
      <c r="D87" s="352"/>
      <c r="K87" s="1161"/>
      <c r="L87" s="1637"/>
      <c r="M87" s="1637"/>
      <c r="N87" s="1161"/>
      <c r="O87" s="1161"/>
      <c r="P87" s="1161"/>
      <c r="Q87" s="1161"/>
      <c r="R87" s="1637"/>
      <c r="S87" s="1161"/>
      <c r="T87" s="1161"/>
      <c r="U87" s="545"/>
      <c r="V87" s="1161"/>
      <c r="W87" s="1161"/>
      <c r="X87" s="1161"/>
      <c r="Y87" s="1161"/>
      <c r="Z87" s="1161"/>
      <c r="AA87" s="1633"/>
      <c r="AB87" s="567"/>
      <c r="AC87" s="567"/>
      <c r="AD87" s="567"/>
      <c r="AE87" s="567"/>
      <c r="AF87" s="1642">
        <v>11</v>
      </c>
    </row>
    <row s="1642" customFormat="1" customHeight="1" ht="11.549999999999999">
      <c r="A88" s="988"/>
      <c r="B88" s="1637"/>
      <c r="C88" s="1637"/>
      <c r="D88" s="352"/>
      <c r="K88" s="1161"/>
      <c r="L88" s="1637"/>
      <c r="M88" s="1637"/>
      <c r="N88" s="1161"/>
      <c r="O88" s="1161"/>
      <c r="P88" s="1161"/>
      <c r="Q88" s="1161"/>
      <c r="R88" s="1637"/>
      <c r="S88" s="1161"/>
      <c r="T88" s="1161"/>
      <c r="U88" s="545"/>
      <c r="V88" s="1161"/>
      <c r="W88" s="1161"/>
      <c r="X88" s="1161"/>
      <c r="Y88" s="1161"/>
      <c r="Z88" s="1161"/>
      <c r="AA88" s="1633"/>
      <c r="AB88" s="567"/>
      <c r="AC88" s="567"/>
      <c r="AD88" s="567"/>
      <c r="AE88" s="567"/>
      <c r="AF88" s="1642">
        <v>11</v>
      </c>
    </row>
    <row s="1642" customFormat="1" customHeight="1" ht="11.549999999999999">
      <c r="A89" s="988"/>
      <c r="B89" s="1637"/>
      <c r="C89" s="1637"/>
      <c r="D89" s="352"/>
      <c r="K89" s="1161"/>
      <c r="L89" s="1637"/>
      <c r="M89" s="1637"/>
      <c r="N89" s="1161"/>
      <c r="O89" s="1161"/>
      <c r="P89" s="1161"/>
      <c r="Q89" s="1161"/>
      <c r="R89" s="1637"/>
      <c r="S89" s="1161"/>
      <c r="T89" s="1161"/>
      <c r="U89" s="545"/>
      <c r="V89" s="1161"/>
      <c r="W89" s="1161"/>
      <c r="X89" s="1161"/>
      <c r="Y89" s="1161"/>
      <c r="Z89" s="1161"/>
      <c r="AA89" s="1633"/>
      <c r="AB89" s="567"/>
      <c r="AC89" s="567"/>
      <c r="AD89" s="567"/>
      <c r="AE89" s="567"/>
      <c r="AF89" s="1642">
        <v>11</v>
      </c>
    </row>
    <row s="1642" customFormat="1" customHeight="1" ht="11.549999999999999">
      <c r="A90" s="988"/>
      <c r="B90" s="1637"/>
      <c r="C90" s="1637"/>
      <c r="D90" s="352"/>
      <c r="K90" s="1161"/>
      <c r="L90" s="1637"/>
      <c r="M90" s="1637"/>
      <c r="N90" s="1161"/>
      <c r="O90" s="1161"/>
      <c r="P90" s="1161"/>
      <c r="Q90" s="1161"/>
      <c r="R90" s="1637"/>
      <c r="S90" s="1161"/>
      <c r="T90" s="1161"/>
      <c r="U90" s="545"/>
      <c r="V90" s="1161"/>
      <c r="W90" s="1161"/>
      <c r="X90" s="1161"/>
      <c r="Y90" s="1161"/>
      <c r="Z90" s="1161"/>
      <c r="AA90" s="1633"/>
      <c r="AB90" s="567"/>
      <c r="AC90" s="567"/>
      <c r="AD90" s="567"/>
      <c r="AE90" s="567"/>
      <c r="AF90" s="1642">
        <v>11</v>
      </c>
    </row>
    <row s="1642" customFormat="1" customHeight="1" ht="11.549999999999999">
      <c r="A91" s="988"/>
      <c r="B91" s="1637"/>
      <c r="C91" s="1637"/>
      <c r="D91" s="352"/>
      <c r="K91" s="1161"/>
      <c r="L91" s="1637"/>
      <c r="M91" s="1637"/>
      <c r="N91" s="1161"/>
      <c r="O91" s="1161"/>
      <c r="P91" s="1161"/>
      <c r="Q91" s="1161"/>
      <c r="R91" s="1637"/>
      <c r="S91" s="1161"/>
      <c r="T91" s="1161"/>
      <c r="U91" s="545"/>
      <c r="V91" s="1161"/>
      <c r="W91" s="1161"/>
      <c r="X91" s="1161"/>
      <c r="Y91" s="1161"/>
      <c r="Z91" s="1161"/>
      <c r="AA91" s="1633"/>
      <c r="AB91" s="567"/>
      <c r="AC91" s="567"/>
      <c r="AD91" s="567"/>
      <c r="AE91" s="567"/>
      <c r="AF91" s="1642">
        <v>11</v>
      </c>
    </row>
    <row s="1642" customFormat="1" customHeight="1" ht="11.549999999999999">
      <c r="A92" s="988"/>
      <c r="B92" s="1637"/>
      <c r="C92" s="1637"/>
      <c r="D92" s="352"/>
      <c r="K92" s="1161"/>
      <c r="L92" s="1637"/>
      <c r="M92" s="1637"/>
      <c r="N92" s="1161"/>
      <c r="O92" s="1161"/>
      <c r="P92" s="1161"/>
      <c r="Q92" s="1161"/>
      <c r="R92" s="1637"/>
      <c r="S92" s="1161"/>
      <c r="T92" s="1161"/>
      <c r="U92" s="545"/>
      <c r="V92" s="1161"/>
      <c r="W92" s="1161"/>
      <c r="X92" s="1161"/>
      <c r="Y92" s="1161"/>
      <c r="Z92" s="1161"/>
      <c r="AA92" s="1633"/>
      <c r="AB92" s="567"/>
      <c r="AC92" s="567"/>
      <c r="AD92" s="567"/>
      <c r="AE92" s="567"/>
      <c r="AF92" s="1642">
        <v>11</v>
      </c>
    </row>
    <row s="1642" customFormat="1" customHeight="1" ht="11.549999999999999">
      <c r="A93" s="988"/>
      <c r="B93" s="1637"/>
      <c r="C93" s="1637"/>
      <c r="D93" s="352"/>
      <c r="K93" s="1161"/>
      <c r="L93" s="1637"/>
      <c r="M93" s="1637"/>
      <c r="N93" s="1161"/>
      <c r="O93" s="1161"/>
      <c r="P93" s="1161"/>
      <c r="Q93" s="1161"/>
      <c r="R93" s="1637"/>
      <c r="S93" s="1161"/>
      <c r="T93" s="1161"/>
      <c r="U93" s="545"/>
      <c r="V93" s="1161"/>
      <c r="W93" s="1161"/>
      <c r="X93" s="1161"/>
      <c r="Y93" s="1161"/>
      <c r="Z93" s="1161"/>
      <c r="AA93" s="1633"/>
      <c r="AB93" s="567"/>
      <c r="AC93" s="567"/>
      <c r="AD93" s="567"/>
      <c r="AE93" s="567"/>
      <c r="AF93" s="1642">
        <v>11</v>
      </c>
    </row>
    <row s="1642" customFormat="1" customHeight="1" ht="11.549999999999999">
      <c r="A94" s="988"/>
      <c r="B94" s="1637"/>
      <c r="C94" s="1637"/>
      <c r="D94" s="352"/>
      <c r="K94" s="1161"/>
      <c r="L94" s="1637"/>
      <c r="M94" s="1637"/>
      <c r="N94" s="1161"/>
      <c r="O94" s="1161"/>
      <c r="P94" s="1161"/>
      <c r="Q94" s="1161"/>
      <c r="R94" s="1637"/>
      <c r="S94" s="1161"/>
      <c r="T94" s="1161"/>
      <c r="U94" s="545"/>
      <c r="V94" s="1161"/>
      <c r="W94" s="1161"/>
      <c r="X94" s="1161"/>
      <c r="Y94" s="1161"/>
      <c r="Z94" s="1161"/>
      <c r="AA94" s="1633"/>
      <c r="AB94" s="567"/>
      <c r="AC94" s="567"/>
      <c r="AD94" s="567"/>
      <c r="AE94" s="567"/>
      <c r="AF94" s="1642">
        <v>11</v>
      </c>
    </row>
    <row s="1642" customFormat="1" customHeight="1" ht="11.549999999999999">
      <c r="A95" s="988"/>
      <c r="B95" s="1637"/>
      <c r="C95" s="1637"/>
      <c r="D95" s="352"/>
      <c r="K95" s="1161"/>
      <c r="L95" s="1637"/>
      <c r="M95" s="1637"/>
      <c r="N95" s="1161"/>
      <c r="O95" s="1161"/>
      <c r="P95" s="1161"/>
      <c r="Q95" s="1161"/>
      <c r="R95" s="1637"/>
      <c r="S95" s="1161"/>
      <c r="T95" s="1161"/>
      <c r="U95" s="545"/>
      <c r="V95" s="1161"/>
      <c r="W95" s="1161"/>
      <c r="X95" s="1161"/>
      <c r="Y95" s="1161"/>
      <c r="Z95" s="1161"/>
      <c r="AA95" s="1633"/>
      <c r="AB95" s="567"/>
      <c r="AC95" s="567"/>
      <c r="AD95" s="567"/>
      <c r="AE95" s="567"/>
      <c r="AF95" s="1642">
        <v>11</v>
      </c>
    </row>
    <row s="1642" customFormat="1" customHeight="1" ht="11.549999999999999">
      <c r="A96" s="988"/>
      <c r="B96" s="1637"/>
      <c r="C96" s="1637"/>
      <c r="D96" s="352"/>
      <c r="K96" s="1161"/>
      <c r="L96" s="1637"/>
      <c r="M96" s="1637"/>
      <c r="N96" s="1161"/>
      <c r="O96" s="1161"/>
      <c r="P96" s="1161"/>
      <c r="Q96" s="1161"/>
      <c r="R96" s="1637"/>
      <c r="S96" s="1161"/>
      <c r="T96" s="1161"/>
      <c r="U96" s="545"/>
      <c r="V96" s="1161"/>
      <c r="W96" s="1161"/>
      <c r="X96" s="1161"/>
      <c r="Y96" s="1161"/>
      <c r="Z96" s="1161"/>
      <c r="AA96" s="1633"/>
      <c r="AB96" s="567"/>
      <c r="AC96" s="567"/>
      <c r="AD96" s="567"/>
      <c r="AE96" s="567"/>
      <c r="AF96" s="1642">
        <v>11</v>
      </c>
    </row>
    <row s="1642" customFormat="1" customHeight="1" ht="11.549999999999999">
      <c r="A97" s="988"/>
      <c r="B97" s="1637"/>
      <c r="C97" s="1637"/>
      <c r="D97" s="352"/>
      <c r="K97" s="1161"/>
      <c r="L97" s="1637"/>
      <c r="M97" s="1637"/>
      <c r="N97" s="1161"/>
      <c r="O97" s="1161"/>
      <c r="P97" s="1161"/>
      <c r="Q97" s="1161"/>
      <c r="R97" s="1637"/>
      <c r="S97" s="1161"/>
      <c r="T97" s="1161"/>
      <c r="U97" s="545"/>
      <c r="V97" s="1161"/>
      <c r="W97" s="1161"/>
      <c r="X97" s="1161"/>
      <c r="Y97" s="1161"/>
      <c r="Z97" s="1161"/>
      <c r="AA97" s="1633"/>
      <c r="AB97" s="567"/>
      <c r="AC97" s="567"/>
      <c r="AD97" s="567"/>
      <c r="AE97" s="567"/>
      <c r="AF97" s="1642">
        <v>11</v>
      </c>
    </row>
    <row s="1642" customFormat="1" customHeight="1" ht="11.549999999999999">
      <c r="A98" s="988"/>
      <c r="B98" s="1637"/>
      <c r="C98" s="1637"/>
      <c r="D98" s="352"/>
      <c r="K98" s="1161"/>
      <c r="L98" s="1637"/>
      <c r="M98" s="1637"/>
      <c r="N98" s="1161"/>
      <c r="O98" s="1161"/>
      <c r="P98" s="1161"/>
      <c r="Q98" s="1161"/>
      <c r="R98" s="1637"/>
      <c r="S98" s="1161"/>
      <c r="T98" s="1161"/>
      <c r="U98" s="545"/>
      <c r="V98" s="1161"/>
      <c r="W98" s="1161"/>
      <c r="X98" s="1161"/>
      <c r="Y98" s="1161"/>
      <c r="Z98" s="1161"/>
      <c r="AA98" s="1633"/>
      <c r="AB98" s="567"/>
      <c r="AC98" s="567"/>
      <c r="AD98" s="567"/>
      <c r="AE98" s="567"/>
      <c r="AF98" s="1642">
        <v>11</v>
      </c>
    </row>
    <row s="1642" customFormat="1" customHeight="1" ht="11.549999999999999">
      <c r="A99" s="988"/>
      <c r="B99" s="1637"/>
      <c r="C99" s="1637"/>
      <c r="D99" s="352"/>
      <c r="K99" s="1161"/>
      <c r="L99" s="1637"/>
      <c r="M99" s="1637"/>
      <c r="N99" s="1161"/>
      <c r="O99" s="1161"/>
      <c r="P99" s="1161"/>
      <c r="Q99" s="1161"/>
      <c r="R99" s="1637"/>
      <c r="S99" s="1161"/>
      <c r="T99" s="1161"/>
      <c r="U99" s="545"/>
      <c r="V99" s="1161"/>
      <c r="W99" s="1161"/>
      <c r="X99" s="1161"/>
      <c r="Y99" s="1161"/>
      <c r="Z99" s="1161"/>
      <c r="AA99" s="1633"/>
      <c r="AB99" s="567"/>
      <c r="AC99" s="567"/>
      <c r="AD99" s="567"/>
      <c r="AE99" s="567"/>
      <c r="AF99" s="1642">
        <v>11</v>
      </c>
    </row>
    <row s="1642" customFormat="1" customHeight="1" ht="11.549999999999999">
      <c r="A100" s="988"/>
      <c r="B100" s="1637"/>
      <c r="C100" s="1637"/>
      <c r="D100" s="352"/>
      <c r="K100" s="1161"/>
      <c r="L100" s="1637"/>
      <c r="M100" s="1637"/>
      <c r="N100" s="1161"/>
      <c r="O100" s="1161"/>
      <c r="P100" s="1161"/>
      <c r="Q100" s="1161"/>
      <c r="R100" s="1637"/>
      <c r="S100" s="1161"/>
      <c r="T100" s="1161"/>
      <c r="U100" s="545"/>
      <c r="V100" s="1161"/>
      <c r="W100" s="1161"/>
      <c r="X100" s="1161"/>
      <c r="Y100" s="1161"/>
      <c r="Z100" s="1161"/>
      <c r="AA100" s="1633"/>
      <c r="AB100" s="567"/>
      <c r="AC100" s="567"/>
      <c r="AD100" s="567"/>
      <c r="AE100" s="567"/>
      <c r="AF100" s="1642">
        <v>11</v>
      </c>
    </row>
    <row s="1642" customFormat="1" customHeight="1" ht="11.549999999999999">
      <c r="A101" s="988"/>
      <c r="B101" s="1637"/>
      <c r="C101" s="1637"/>
      <c r="D101" s="352"/>
      <c r="K101" s="1161"/>
      <c r="L101" s="1637"/>
      <c r="M101" s="1637"/>
      <c r="N101" s="1161"/>
      <c r="O101" s="1161"/>
      <c r="P101" s="1161"/>
      <c r="Q101" s="1161"/>
      <c r="R101" s="1637"/>
      <c r="S101" s="1161"/>
      <c r="T101" s="1161"/>
      <c r="U101" s="545"/>
      <c r="V101" s="1161"/>
      <c r="W101" s="1161"/>
      <c r="X101" s="1161"/>
      <c r="Y101" s="1161"/>
      <c r="Z101" s="1161"/>
      <c r="AA101" s="1633"/>
      <c r="AB101" s="567"/>
      <c r="AC101" s="567"/>
      <c r="AD101" s="567"/>
      <c r="AE101" s="567"/>
      <c r="AF101" s="1642">
        <v>11</v>
      </c>
    </row>
    <row s="1642" customFormat="1" customHeight="1" ht="11.549999999999999">
      <c r="A102" s="988"/>
      <c r="B102" s="1637"/>
      <c r="C102" s="1637"/>
      <c r="D102" s="352"/>
      <c r="K102" s="1161"/>
      <c r="L102" s="1637"/>
      <c r="M102" s="1637"/>
      <c r="N102" s="1161"/>
      <c r="O102" s="1161"/>
      <c r="P102" s="1161"/>
      <c r="Q102" s="1161"/>
      <c r="R102" s="1637"/>
      <c r="S102" s="1161"/>
      <c r="T102" s="1161"/>
      <c r="U102" s="545"/>
      <c r="V102" s="1161"/>
      <c r="W102" s="1161"/>
      <c r="X102" s="1161"/>
      <c r="Y102" s="1161"/>
      <c r="Z102" s="1161"/>
      <c r="AA102" s="1633"/>
      <c r="AB102" s="567"/>
      <c r="AC102" s="567"/>
      <c r="AD102" s="567"/>
      <c r="AE102" s="567"/>
      <c r="AF102" s="1642">
        <v>11</v>
      </c>
    </row>
    <row s="1642" customFormat="1" customHeight="1" ht="11.549999999999999">
      <c r="A103" s="988"/>
      <c r="B103" s="1637"/>
      <c r="C103" s="1637"/>
      <c r="D103" s="352"/>
      <c r="K103" s="1161"/>
      <c r="L103" s="1637"/>
      <c r="M103" s="1637"/>
      <c r="N103" s="1161"/>
      <c r="O103" s="1161"/>
      <c r="P103" s="1161"/>
      <c r="Q103" s="1161"/>
      <c r="R103" s="1637"/>
      <c r="S103" s="1161"/>
      <c r="T103" s="1161"/>
      <c r="U103" s="545"/>
      <c r="V103" s="1161"/>
      <c r="W103" s="1161"/>
      <c r="X103" s="1161"/>
      <c r="Y103" s="1161"/>
      <c r="Z103" s="1161"/>
      <c r="AA103" s="1633"/>
      <c r="AB103" s="567"/>
      <c r="AC103" s="567"/>
      <c r="AD103" s="567"/>
      <c r="AE103" s="567"/>
      <c r="AF103" s="1642">
        <v>11</v>
      </c>
    </row>
    <row s="1642" customFormat="1" customHeight="1" ht="11.549999999999999">
      <c r="A104" s="988"/>
      <c r="B104" s="1637"/>
      <c r="C104" s="1637"/>
      <c r="D104" s="352"/>
      <c r="K104" s="1161"/>
      <c r="L104" s="1637"/>
      <c r="M104" s="1637"/>
      <c r="N104" s="1161"/>
      <c r="O104" s="1161"/>
      <c r="P104" s="1161"/>
      <c r="Q104" s="1161"/>
      <c r="R104" s="1637"/>
      <c r="S104" s="1161"/>
      <c r="T104" s="1161"/>
      <c r="U104" s="545"/>
      <c r="V104" s="1161"/>
      <c r="W104" s="1161"/>
      <c r="X104" s="1161"/>
      <c r="Y104" s="1161"/>
      <c r="Z104" s="1161"/>
      <c r="AA104" s="1633"/>
      <c r="AB104" s="567"/>
      <c r="AC104" s="567"/>
      <c r="AD104" s="567"/>
      <c r="AE104" s="567"/>
      <c r="AF104" s="1642">
        <v>11</v>
      </c>
    </row>
    <row s="1642" customFormat="1" customHeight="1" ht="11.549999999999999">
      <c r="A105" s="988"/>
      <c r="B105" s="1637"/>
      <c r="C105" s="1637"/>
      <c r="D105" s="352"/>
      <c r="K105" s="1161"/>
      <c r="L105" s="1637"/>
      <c r="M105" s="1637"/>
      <c r="N105" s="1161"/>
      <c r="O105" s="1161"/>
      <c r="P105" s="1161"/>
      <c r="Q105" s="1161"/>
      <c r="R105" s="1637"/>
      <c r="S105" s="1161"/>
      <c r="T105" s="1161"/>
      <c r="U105" s="545"/>
      <c r="V105" s="1161"/>
      <c r="W105" s="1161"/>
      <c r="X105" s="1161"/>
      <c r="Y105" s="1161"/>
      <c r="Z105" s="1161"/>
      <c r="AA105" s="1633"/>
      <c r="AB105" s="567"/>
      <c r="AC105" s="567"/>
      <c r="AD105" s="567"/>
      <c r="AE105" s="567"/>
      <c r="AF105" s="1642">
        <v>11</v>
      </c>
    </row>
    <row s="1642" customFormat="1" customHeight="1" ht="11.549999999999999">
      <c r="A106" s="988"/>
      <c r="B106" s="1637"/>
      <c r="C106" s="1637"/>
      <c r="D106" s="352"/>
      <c r="K106" s="1161"/>
      <c r="L106" s="1637"/>
      <c r="M106" s="1637"/>
      <c r="N106" s="1161"/>
      <c r="O106" s="1161"/>
      <c r="P106" s="1161"/>
      <c r="Q106" s="1161"/>
      <c r="R106" s="1637"/>
      <c r="S106" s="1161"/>
      <c r="T106" s="1161"/>
      <c r="U106" s="545"/>
      <c r="V106" s="1161"/>
      <c r="W106" s="1161"/>
      <c r="X106" s="1161"/>
      <c r="Y106" s="1161"/>
      <c r="Z106" s="1161"/>
      <c r="AA106" s="1633"/>
      <c r="AB106" s="567"/>
      <c r="AC106" s="567"/>
      <c r="AD106" s="567"/>
      <c r="AE106" s="567"/>
      <c r="AF106" s="1642">
        <v>11</v>
      </c>
    </row>
    <row s="1642" customFormat="1" customHeight="1" ht="11.549999999999999">
      <c r="A107" s="988"/>
      <c r="B107" s="1637"/>
      <c r="C107" s="1637"/>
      <c r="D107" s="352"/>
      <c r="K107" s="1161"/>
      <c r="L107" s="1637"/>
      <c r="M107" s="1637"/>
      <c r="N107" s="1161"/>
      <c r="O107" s="1161"/>
      <c r="P107" s="1161"/>
      <c r="Q107" s="1161"/>
      <c r="R107" s="1637"/>
      <c r="S107" s="1161"/>
      <c r="T107" s="1161"/>
      <c r="U107" s="545"/>
      <c r="V107" s="1161"/>
      <c r="W107" s="1161"/>
      <c r="X107" s="1161"/>
      <c r="Y107" s="1161"/>
      <c r="Z107" s="1161"/>
      <c r="AA107" s="1633"/>
      <c r="AB107" s="567"/>
      <c r="AC107" s="567"/>
      <c r="AD107" s="567"/>
      <c r="AE107" s="567"/>
      <c r="AF107" s="1642">
        <v>11</v>
      </c>
    </row>
    <row s="1642" customFormat="1" customHeight="1" ht="11.549999999999999">
      <c r="A108" s="988"/>
      <c r="B108" s="1637"/>
      <c r="C108" s="1637"/>
      <c r="D108" s="352"/>
      <c r="K108" s="1161"/>
      <c r="L108" s="1637"/>
      <c r="M108" s="1637"/>
      <c r="N108" s="1161"/>
      <c r="O108" s="1161"/>
      <c r="P108" s="1161"/>
      <c r="Q108" s="1161"/>
      <c r="R108" s="1637"/>
      <c r="S108" s="1161"/>
      <c r="T108" s="1161"/>
      <c r="U108" s="545"/>
      <c r="V108" s="1161"/>
      <c r="W108" s="1161"/>
      <c r="X108" s="1161"/>
      <c r="Y108" s="1161"/>
      <c r="Z108" s="1161"/>
      <c r="AA108" s="1633"/>
      <c r="AB108" s="567"/>
      <c r="AC108" s="567"/>
      <c r="AD108" s="567"/>
      <c r="AE108" s="567"/>
      <c r="AF108" s="1642">
        <v>11</v>
      </c>
    </row>
    <row s="1642" customFormat="1" customHeight="1" ht="11.549999999999999">
      <c r="A109" s="988"/>
      <c r="B109" s="1637"/>
      <c r="C109" s="1637"/>
      <c r="D109" s="352"/>
      <c r="K109" s="1161"/>
      <c r="L109" s="1637"/>
      <c r="M109" s="1637"/>
      <c r="N109" s="1161"/>
      <c r="O109" s="1161"/>
      <c r="P109" s="1161"/>
      <c r="Q109" s="1161"/>
      <c r="R109" s="1637"/>
      <c r="S109" s="1161"/>
      <c r="T109" s="1161"/>
      <c r="U109" s="545"/>
      <c r="V109" s="1161"/>
      <c r="W109" s="1161"/>
      <c r="X109" s="1161"/>
      <c r="Y109" s="1161"/>
      <c r="Z109" s="1161"/>
      <c r="AA109" s="1633"/>
      <c r="AB109" s="567"/>
      <c r="AC109" s="567"/>
      <c r="AD109" s="567"/>
      <c r="AE109" s="567"/>
      <c r="AF109" s="1642">
        <v>11</v>
      </c>
    </row>
    <row s="1642" customFormat="1" customHeight="1" ht="11.549999999999999">
      <c r="A110" s="988"/>
      <c r="B110" s="1637"/>
      <c r="C110" s="1637"/>
      <c r="D110" s="352"/>
      <c r="K110" s="1161"/>
      <c r="L110" s="1637"/>
      <c r="M110" s="1637"/>
      <c r="N110" s="1161"/>
      <c r="O110" s="1161"/>
      <c r="P110" s="1161"/>
      <c r="Q110" s="1161"/>
      <c r="R110" s="1637"/>
      <c r="S110" s="1161"/>
      <c r="T110" s="1161"/>
      <c r="U110" s="545"/>
      <c r="V110" s="1161"/>
      <c r="W110" s="1161"/>
      <c r="X110" s="1161"/>
      <c r="Y110" s="1161"/>
      <c r="Z110" s="1161"/>
      <c r="AA110" s="1633"/>
      <c r="AB110" s="567"/>
      <c r="AC110" s="567"/>
      <c r="AD110" s="567"/>
      <c r="AE110" s="567"/>
      <c r="AF110" s="1642">
        <v>11</v>
      </c>
    </row>
    <row s="1642" customFormat="1" customHeight="1" ht="11.549999999999999">
      <c r="A111" s="988"/>
      <c r="B111" s="1637"/>
      <c r="C111" s="1637"/>
      <c r="D111" s="352"/>
      <c r="K111" s="1161"/>
      <c r="L111" s="1637"/>
      <c r="M111" s="1637"/>
      <c r="N111" s="1161"/>
      <c r="O111" s="1161"/>
      <c r="P111" s="1161"/>
      <c r="Q111" s="1161"/>
      <c r="R111" s="1637"/>
      <c r="S111" s="1161"/>
      <c r="T111" s="1161"/>
      <c r="U111" s="545"/>
      <c r="V111" s="1161"/>
      <c r="W111" s="1161"/>
      <c r="X111" s="1161"/>
      <c r="Y111" s="1161"/>
      <c r="Z111" s="1161"/>
      <c r="AA111" s="1633"/>
      <c r="AB111" s="567"/>
      <c r="AC111" s="567"/>
      <c r="AD111" s="567"/>
      <c r="AE111" s="567"/>
      <c r="AF111" s="1642">
        <v>11</v>
      </c>
    </row>
    <row s="1642" customFormat="1" customHeight="1" ht="11.549999999999999">
      <c r="A112" s="988"/>
      <c r="B112" s="1637"/>
      <c r="C112" s="1637"/>
      <c r="D112" s="352"/>
      <c r="K112" s="1161"/>
      <c r="L112" s="1637"/>
      <c r="M112" s="1637"/>
      <c r="N112" s="1161"/>
      <c r="O112" s="1161"/>
      <c r="P112" s="1161"/>
      <c r="Q112" s="1161"/>
      <c r="R112" s="1637"/>
      <c r="S112" s="1161"/>
      <c r="T112" s="1161"/>
      <c r="U112" s="545"/>
      <c r="V112" s="1161"/>
      <c r="W112" s="1161"/>
      <c r="X112" s="1161"/>
      <c r="Y112" s="1161"/>
      <c r="Z112" s="1161"/>
      <c r="AA112" s="1633"/>
      <c r="AB112" s="567"/>
      <c r="AC112" s="567"/>
      <c r="AD112" s="567"/>
      <c r="AE112" s="567"/>
      <c r="AF112" s="1642">
        <v>11</v>
      </c>
    </row>
    <row s="1642" customFormat="1" customHeight="1" ht="11.549999999999999">
      <c r="A113" s="988"/>
      <c r="B113" s="1637"/>
      <c r="C113" s="1637"/>
      <c r="D113" s="352"/>
      <c r="K113" s="1161"/>
      <c r="L113" s="1637"/>
      <c r="M113" s="1637"/>
      <c r="N113" s="1161"/>
      <c r="O113" s="1161"/>
      <c r="P113" s="1161"/>
      <c r="Q113" s="1161"/>
      <c r="R113" s="1637"/>
      <c r="S113" s="1161"/>
      <c r="T113" s="1161"/>
      <c r="U113" s="545"/>
      <c r="V113" s="1161"/>
      <c r="W113" s="1161"/>
      <c r="X113" s="1161"/>
      <c r="Y113" s="1161"/>
      <c r="Z113" s="1161"/>
      <c r="AA113" s="1633"/>
      <c r="AB113" s="567"/>
      <c r="AC113" s="567"/>
      <c r="AD113" s="567"/>
      <c r="AE113" s="567"/>
      <c r="AF113" s="1642">
        <v>11</v>
      </c>
    </row>
    <row s="1642" customFormat="1" customHeight="1" ht="11.549999999999999">
      <c r="A114" s="988"/>
      <c r="B114" s="1637"/>
      <c r="C114" s="1637"/>
      <c r="D114" s="352"/>
      <c r="K114" s="1161"/>
      <c r="L114" s="1637"/>
      <c r="M114" s="1637"/>
      <c r="N114" s="1161"/>
      <c r="O114" s="1161"/>
      <c r="P114" s="1161"/>
      <c r="Q114" s="1161"/>
      <c r="R114" s="1637"/>
      <c r="S114" s="1161"/>
      <c r="T114" s="1161"/>
      <c r="U114" s="545"/>
      <c r="V114" s="1161"/>
      <c r="W114" s="1161"/>
      <c r="X114" s="1161"/>
      <c r="Y114" s="1161"/>
      <c r="Z114" s="1161"/>
      <c r="AA114" s="1633"/>
      <c r="AB114" s="567"/>
      <c r="AC114" s="567"/>
      <c r="AD114" s="567"/>
      <c r="AE114" s="567"/>
      <c r="AF114" s="1642">
        <v>11</v>
      </c>
    </row>
    <row s="1642" customFormat="1" customHeight="1" ht="11.549999999999999">
      <c r="A115" s="988"/>
      <c r="B115" s="1637"/>
      <c r="C115" s="1637"/>
      <c r="D115" s="352"/>
      <c r="K115" s="1161"/>
      <c r="L115" s="1637"/>
      <c r="M115" s="1637"/>
      <c r="N115" s="1161"/>
      <c r="O115" s="1161"/>
      <c r="P115" s="1161"/>
      <c r="Q115" s="1161"/>
      <c r="R115" s="1637"/>
      <c r="S115" s="1161"/>
      <c r="T115" s="1161"/>
      <c r="U115" s="545"/>
      <c r="V115" s="1161"/>
      <c r="W115" s="1161"/>
      <c r="X115" s="1161"/>
      <c r="Y115" s="1161"/>
      <c r="Z115" s="1161"/>
      <c r="AA115" s="1633"/>
      <c r="AB115" s="567"/>
      <c r="AC115" s="567"/>
      <c r="AD115" s="567"/>
      <c r="AE115" s="567"/>
      <c r="AF115" s="1642">
        <v>11</v>
      </c>
    </row>
    <row s="1642" customFormat="1" customHeight="1" ht="11.549999999999999">
      <c r="A116" s="988"/>
      <c r="B116" s="1637"/>
      <c r="C116" s="1637"/>
      <c r="D116" s="352"/>
      <c r="K116" s="1161"/>
      <c r="L116" s="1637"/>
      <c r="M116" s="1637"/>
      <c r="N116" s="1161"/>
      <c r="O116" s="1161"/>
      <c r="P116" s="1161"/>
      <c r="Q116" s="1161"/>
      <c r="R116" s="1637"/>
      <c r="S116" s="1161"/>
      <c r="T116" s="1161"/>
      <c r="U116" s="545"/>
      <c r="V116" s="1161"/>
      <c r="W116" s="1161"/>
      <c r="X116" s="1161"/>
      <c r="Y116" s="1161"/>
      <c r="Z116" s="1161"/>
      <c r="AA116" s="1633"/>
      <c r="AB116" s="567"/>
      <c r="AC116" s="567"/>
      <c r="AD116" s="567"/>
      <c r="AE116" s="567"/>
      <c r="AF116" s="1642">
        <v>11</v>
      </c>
    </row>
    <row s="1642" customFormat="1" customHeight="1" ht="11.549999999999999">
      <c r="A117" s="988"/>
      <c r="B117" s="1637"/>
      <c r="C117" s="1637"/>
      <c r="D117" s="352"/>
      <c r="K117" s="1161"/>
      <c r="L117" s="1637"/>
      <c r="M117" s="1637"/>
      <c r="N117" s="1161"/>
      <c r="O117" s="1161"/>
      <c r="P117" s="1161"/>
      <c r="Q117" s="1161"/>
      <c r="R117" s="1637"/>
      <c r="S117" s="1161"/>
      <c r="T117" s="1161"/>
      <c r="U117" s="545"/>
      <c r="V117" s="1161"/>
      <c r="W117" s="1161"/>
      <c r="X117" s="1161"/>
      <c r="Y117" s="1161"/>
      <c r="Z117" s="1161"/>
      <c r="AA117" s="1633"/>
      <c r="AB117" s="567"/>
      <c r="AC117" s="567"/>
      <c r="AD117" s="567"/>
      <c r="AE117" s="567"/>
      <c r="AF117" s="1642">
        <v>11</v>
      </c>
    </row>
    <row s="1642" customFormat="1" customHeight="1" ht="11.549999999999999">
      <c r="A118" s="988"/>
      <c r="B118" s="1637"/>
      <c r="C118" s="1637"/>
      <c r="D118" s="352"/>
      <c r="K118" s="1161"/>
      <c r="L118" s="1637"/>
      <c r="M118" s="1637"/>
      <c r="N118" s="1161"/>
      <c r="O118" s="1161"/>
      <c r="P118" s="1161"/>
      <c r="Q118" s="1161"/>
      <c r="R118" s="1637"/>
      <c r="S118" s="1161"/>
      <c r="T118" s="1161"/>
      <c r="U118" s="545"/>
      <c r="V118" s="1161"/>
      <c r="W118" s="1161"/>
      <c r="X118" s="1161"/>
      <c r="Y118" s="1161"/>
      <c r="Z118" s="1161"/>
      <c r="AA118" s="1633"/>
      <c r="AB118" s="567"/>
      <c r="AC118" s="567"/>
      <c r="AD118" s="567"/>
      <c r="AE118" s="567"/>
      <c r="AF118" s="1642">
        <v>11</v>
      </c>
    </row>
    <row s="1642" customFormat="1" customHeight="1" ht="11.549999999999999">
      <c r="A119" s="988"/>
      <c r="B119" s="1637"/>
      <c r="C119" s="1637"/>
      <c r="D119" s="352"/>
      <c r="K119" s="1161"/>
      <c r="L119" s="1637"/>
      <c r="M119" s="1637"/>
      <c r="N119" s="1161"/>
      <c r="O119" s="1161"/>
      <c r="P119" s="1161"/>
      <c r="Q119" s="1161"/>
      <c r="R119" s="1637"/>
      <c r="S119" s="1161"/>
      <c r="T119" s="1161"/>
      <c r="U119" s="545"/>
      <c r="V119" s="1161"/>
      <c r="W119" s="1161"/>
      <c r="X119" s="1161"/>
      <c r="Y119" s="1161"/>
      <c r="Z119" s="1161"/>
      <c r="AA119" s="1633"/>
      <c r="AB119" s="567"/>
      <c r="AC119" s="567"/>
      <c r="AD119" s="567"/>
      <c r="AE119" s="567"/>
      <c r="AF119" s="1642">
        <v>11</v>
      </c>
    </row>
    <row s="1642" customFormat="1" customHeight="1" ht="11.549999999999999">
      <c r="A120" s="988"/>
      <c r="B120" s="1637"/>
      <c r="C120" s="1637"/>
      <c r="D120" s="352"/>
      <c r="K120" s="1161"/>
      <c r="L120" s="1637"/>
      <c r="M120" s="1637"/>
      <c r="N120" s="1161"/>
      <c r="O120" s="1161"/>
      <c r="P120" s="1161"/>
      <c r="Q120" s="1161"/>
      <c r="R120" s="1637"/>
      <c r="S120" s="1161"/>
      <c r="T120" s="1161"/>
      <c r="U120" s="545"/>
      <c r="V120" s="1161"/>
      <c r="W120" s="1161"/>
      <c r="X120" s="1161"/>
      <c r="Y120" s="1161"/>
      <c r="Z120" s="1161"/>
      <c r="AA120" s="1633"/>
      <c r="AB120" s="567"/>
      <c r="AC120" s="567"/>
      <c r="AD120" s="567"/>
      <c r="AE120" s="567"/>
      <c r="AF120" s="1642">
        <v>11</v>
      </c>
    </row>
    <row s="1642" customFormat="1" customHeight="1" ht="11.549999999999999">
      <c r="A121" s="988"/>
      <c r="B121" s="1637"/>
      <c r="C121" s="1637"/>
      <c r="D121" s="352"/>
      <c r="K121" s="1161"/>
      <c r="L121" s="1637"/>
      <c r="M121" s="1637"/>
      <c r="N121" s="1161"/>
      <c r="O121" s="1161"/>
      <c r="P121" s="1161"/>
      <c r="Q121" s="1161"/>
      <c r="R121" s="1637"/>
      <c r="S121" s="1161"/>
      <c r="T121" s="1161"/>
      <c r="U121" s="545"/>
      <c r="V121" s="1161"/>
      <c r="W121" s="1161"/>
      <c r="X121" s="1161"/>
      <c r="Y121" s="1161"/>
      <c r="Z121" s="1161"/>
      <c r="AA121" s="1633"/>
      <c r="AB121" s="567"/>
      <c r="AC121" s="567"/>
      <c r="AD121" s="567"/>
      <c r="AE121" s="567"/>
      <c r="AF121" s="1642">
        <v>11</v>
      </c>
    </row>
    <row s="1642" customFormat="1" customHeight="1" ht="11.549999999999999">
      <c r="A122" s="988"/>
      <c r="B122" s="1637"/>
      <c r="C122" s="1637"/>
      <c r="D122" s="352"/>
      <c r="K122" s="1161"/>
      <c r="L122" s="1637"/>
      <c r="M122" s="1637"/>
      <c r="N122" s="1161"/>
      <c r="O122" s="1161"/>
      <c r="P122" s="1161"/>
      <c r="Q122" s="1161"/>
      <c r="R122" s="1637"/>
      <c r="S122" s="1161"/>
      <c r="T122" s="1161"/>
      <c r="U122" s="545"/>
      <c r="V122" s="1161"/>
      <c r="W122" s="1161"/>
      <c r="X122" s="1161"/>
      <c r="Y122" s="1161"/>
      <c r="Z122" s="1161"/>
      <c r="AA122" s="1633"/>
      <c r="AB122" s="567"/>
      <c r="AC122" s="567"/>
      <c r="AD122" s="567"/>
      <c r="AE122" s="567"/>
      <c r="AF122" s="1642">
        <v>11</v>
      </c>
    </row>
    <row s="1642" customFormat="1" customHeight="1" ht="11.549999999999999">
      <c r="A123" s="988"/>
      <c r="B123" s="1637"/>
      <c r="C123" s="1637"/>
      <c r="D123" s="352"/>
      <c r="K123" s="1161"/>
      <c r="L123" s="1637"/>
      <c r="M123" s="1637"/>
      <c r="N123" s="1161"/>
      <c r="O123" s="1161"/>
      <c r="P123" s="1161"/>
      <c r="Q123" s="1161"/>
      <c r="R123" s="1637"/>
      <c r="S123" s="1161"/>
      <c r="T123" s="1161"/>
      <c r="U123" s="545"/>
      <c r="V123" s="1161"/>
      <c r="W123" s="1161"/>
      <c r="X123" s="1161"/>
      <c r="Y123" s="1161"/>
      <c r="Z123" s="1161"/>
      <c r="AA123" s="1633"/>
      <c r="AB123" s="567"/>
      <c r="AC123" s="567"/>
      <c r="AD123" s="567"/>
      <c r="AE123" s="567"/>
      <c r="AF123" s="1642">
        <v>11</v>
      </c>
    </row>
    <row s="1642" customFormat="1" customHeight="1" ht="11.549999999999999">
      <c r="A124" s="988"/>
      <c r="B124" s="1637"/>
      <c r="C124" s="1637"/>
      <c r="D124" s="352"/>
      <c r="K124" s="1161"/>
      <c r="L124" s="1637"/>
      <c r="M124" s="1637"/>
      <c r="N124" s="1161"/>
      <c r="O124" s="1161"/>
      <c r="P124" s="1161"/>
      <c r="Q124" s="1161"/>
      <c r="R124" s="1637"/>
      <c r="S124" s="1161"/>
      <c r="T124" s="1161"/>
      <c r="U124" s="545"/>
      <c r="V124" s="1161"/>
      <c r="W124" s="1161"/>
      <c r="X124" s="1161"/>
      <c r="Y124" s="1161"/>
      <c r="Z124" s="1161"/>
      <c r="AA124" s="1633"/>
      <c r="AB124" s="567"/>
      <c r="AC124" s="567"/>
      <c r="AD124" s="567"/>
      <c r="AE124" s="567"/>
      <c r="AF124" s="1642">
        <v>11</v>
      </c>
    </row>
    <row s="1642" customFormat="1" customHeight="1" ht="11.549999999999999">
      <c r="A125" s="988"/>
      <c r="B125" s="1637"/>
      <c r="C125" s="1637"/>
      <c r="D125" s="352"/>
      <c r="K125" s="1161"/>
      <c r="L125" s="1637"/>
      <c r="M125" s="1637"/>
      <c r="N125" s="1161"/>
      <c r="O125" s="1161"/>
      <c r="P125" s="1161"/>
      <c r="Q125" s="1161"/>
      <c r="R125" s="1637"/>
      <c r="S125" s="1161"/>
      <c r="T125" s="1161"/>
      <c r="U125" s="545"/>
      <c r="V125" s="1161"/>
      <c r="W125" s="1161"/>
      <c r="X125" s="1161"/>
      <c r="Y125" s="1161"/>
      <c r="Z125" s="1161"/>
      <c r="AA125" s="1633"/>
      <c r="AB125" s="567"/>
      <c r="AC125" s="567"/>
      <c r="AD125" s="567"/>
      <c r="AE125" s="567"/>
      <c r="AF125" s="1642">
        <v>11</v>
      </c>
    </row>
    <row s="1642" customFormat="1" customHeight="1" ht="11.549999999999999">
      <c r="A126" s="988"/>
      <c r="B126" s="1637"/>
      <c r="C126" s="1637"/>
      <c r="D126" s="352"/>
      <c r="K126" s="1161"/>
      <c r="L126" s="1637"/>
      <c r="M126" s="1637"/>
      <c r="N126" s="1161"/>
      <c r="O126" s="1161"/>
      <c r="P126" s="1161"/>
      <c r="Q126" s="1161"/>
      <c r="R126" s="1637"/>
      <c r="S126" s="1161"/>
      <c r="T126" s="1161"/>
      <c r="U126" s="545"/>
      <c r="V126" s="1161"/>
      <c r="W126" s="1161"/>
      <c r="X126" s="1161"/>
      <c r="Y126" s="1161"/>
      <c r="Z126" s="1161"/>
      <c r="AA126" s="1633"/>
      <c r="AB126" s="567"/>
      <c r="AC126" s="567"/>
      <c r="AD126" s="567"/>
      <c r="AE126" s="567"/>
      <c r="AF126" s="1642">
        <v>11</v>
      </c>
    </row>
    <row s="1642" customFormat="1" customHeight="1" ht="11.549999999999999">
      <c r="A127" s="988"/>
      <c r="B127" s="1637"/>
      <c r="C127" s="1637"/>
      <c r="D127" s="352"/>
      <c r="K127" s="1161"/>
      <c r="L127" s="1637"/>
      <c r="M127" s="1637"/>
      <c r="N127" s="1161"/>
      <c r="O127" s="1161"/>
      <c r="P127" s="1161"/>
      <c r="Q127" s="1161"/>
      <c r="R127" s="1637"/>
      <c r="S127" s="1161"/>
      <c r="T127" s="1161"/>
      <c r="U127" s="545"/>
      <c r="V127" s="1161"/>
      <c r="W127" s="1161"/>
      <c r="X127" s="1161"/>
      <c r="Y127" s="1161"/>
      <c r="Z127" s="1161"/>
      <c r="AA127" s="1633"/>
      <c r="AB127" s="567"/>
      <c r="AC127" s="567"/>
      <c r="AD127" s="567"/>
      <c r="AE127" s="567"/>
      <c r="AF127" s="1642">
        <v>11</v>
      </c>
    </row>
    <row s="1642" customFormat="1" customHeight="1" ht="11.549999999999999">
      <c r="A128" s="988"/>
      <c r="B128" s="1637"/>
      <c r="C128" s="1637"/>
      <c r="D128" s="352"/>
      <c r="K128" s="1161"/>
      <c r="L128" s="1637"/>
      <c r="M128" s="1637"/>
      <c r="N128" s="1161"/>
      <c r="O128" s="1161"/>
      <c r="P128" s="1161"/>
      <c r="Q128" s="1161"/>
      <c r="R128" s="1637"/>
      <c r="S128" s="1161"/>
      <c r="T128" s="1161"/>
      <c r="U128" s="545"/>
      <c r="V128" s="1161"/>
      <c r="W128" s="1161"/>
      <c r="X128" s="1161"/>
      <c r="Y128" s="1161"/>
      <c r="Z128" s="1161"/>
      <c r="AA128" s="1633"/>
      <c r="AB128" s="567"/>
      <c r="AC128" s="567"/>
      <c r="AD128" s="567"/>
      <c r="AE128" s="567"/>
      <c r="AF128" s="1642">
        <v>11</v>
      </c>
    </row>
    <row s="1642" customFormat="1" customHeight="1" ht="11.549999999999999">
      <c r="A129" s="988"/>
      <c r="B129" s="1637"/>
      <c r="C129" s="1637"/>
      <c r="D129" s="352"/>
      <c r="K129" s="1161"/>
      <c r="L129" s="1637"/>
      <c r="M129" s="1637"/>
      <c r="N129" s="1161"/>
      <c r="O129" s="1161"/>
      <c r="P129" s="1161"/>
      <c r="Q129" s="1161"/>
      <c r="R129" s="1637"/>
      <c r="S129" s="1161"/>
      <c r="T129" s="1161"/>
      <c r="U129" s="545"/>
      <c r="V129" s="1161"/>
      <c r="W129" s="1161"/>
      <c r="X129" s="1161"/>
      <c r="Y129" s="1161"/>
      <c r="Z129" s="1161"/>
      <c r="AA129" s="1633"/>
      <c r="AB129" s="567"/>
      <c r="AC129" s="567"/>
      <c r="AD129" s="567"/>
      <c r="AE129" s="567"/>
      <c r="AF129" s="1642">
        <v>11</v>
      </c>
    </row>
    <row s="1642" customFormat="1" customHeight="1" ht="11.549999999999999">
      <c r="A130" s="988"/>
      <c r="B130" s="1637"/>
      <c r="C130" s="1637"/>
      <c r="D130" s="352"/>
      <c r="K130" s="1161"/>
      <c r="L130" s="1637"/>
      <c r="M130" s="1637"/>
      <c r="N130" s="1161"/>
      <c r="O130" s="1161"/>
      <c r="P130" s="1161"/>
      <c r="Q130" s="1161"/>
      <c r="R130" s="1637"/>
      <c r="S130" s="1161"/>
      <c r="T130" s="1161"/>
      <c r="U130" s="545"/>
      <c r="V130" s="1161"/>
      <c r="W130" s="1161"/>
      <c r="X130" s="1161"/>
      <c r="Y130" s="1161"/>
      <c r="Z130" s="1161"/>
      <c r="AA130" s="1633"/>
      <c r="AB130" s="567"/>
      <c r="AC130" s="567"/>
      <c r="AD130" s="567"/>
      <c r="AE130" s="567"/>
      <c r="AF130" s="1642">
        <v>11</v>
      </c>
    </row>
    <row s="1642" customFormat="1" customHeight="1" ht="11.549999999999999">
      <c r="A131" s="988"/>
      <c r="B131" s="1637"/>
      <c r="C131" s="1637"/>
      <c r="D131" s="352"/>
      <c r="K131" s="1161"/>
      <c r="L131" s="1637"/>
      <c r="M131" s="1637"/>
      <c r="N131" s="1161"/>
      <c r="O131" s="1161"/>
      <c r="P131" s="1161"/>
      <c r="Q131" s="1161"/>
      <c r="R131" s="1637"/>
      <c r="S131" s="1161"/>
      <c r="T131" s="1161"/>
      <c r="U131" s="545"/>
      <c r="V131" s="1161"/>
      <c r="W131" s="1161"/>
      <c r="X131" s="1161"/>
      <c r="Y131" s="1161"/>
      <c r="Z131" s="1161"/>
      <c r="AA131" s="1633"/>
      <c r="AB131" s="567"/>
      <c r="AC131" s="567"/>
      <c r="AD131" s="567"/>
      <c r="AE131" s="567"/>
      <c r="AF131" s="1642">
        <v>11</v>
      </c>
    </row>
    <row s="1642" customFormat="1" customHeight="1" ht="11.549999999999999">
      <c r="A132" s="988"/>
      <c r="B132" s="1637"/>
      <c r="C132" s="1637"/>
      <c r="D132" s="352"/>
      <c r="K132" s="1161"/>
      <c r="L132" s="1637"/>
      <c r="M132" s="1637"/>
      <c r="N132" s="1161"/>
      <c r="O132" s="1161"/>
      <c r="P132" s="1161"/>
      <c r="Q132" s="1161"/>
      <c r="R132" s="1637"/>
      <c r="S132" s="1161"/>
      <c r="T132" s="1161"/>
      <c r="U132" s="545"/>
      <c r="V132" s="1161"/>
      <c r="W132" s="1161"/>
      <c r="X132" s="1161"/>
      <c r="Y132" s="1161"/>
      <c r="Z132" s="1161"/>
      <c r="AA132" s="1633"/>
      <c r="AB132" s="567"/>
      <c r="AC132" s="567"/>
      <c r="AD132" s="567"/>
      <c r="AE132" s="567"/>
      <c r="AF132" s="1642">
        <v>11</v>
      </c>
    </row>
    <row s="1642" customFormat="1" customHeight="1" ht="11.549999999999999">
      <c r="A133" s="988"/>
      <c r="B133" s="1637"/>
      <c r="C133" s="1637"/>
      <c r="D133" s="352"/>
      <c r="K133" s="1161"/>
      <c r="L133" s="1637"/>
      <c r="M133" s="1637"/>
      <c r="N133" s="1161"/>
      <c r="O133" s="1161"/>
      <c r="P133" s="1161"/>
      <c r="Q133" s="1161"/>
      <c r="R133" s="1637"/>
      <c r="S133" s="1161"/>
      <c r="T133" s="1161"/>
      <c r="U133" s="545"/>
      <c r="V133" s="1161"/>
      <c r="W133" s="1161"/>
      <c r="X133" s="1161"/>
      <c r="Y133" s="1161"/>
      <c r="Z133" s="1161"/>
      <c r="AA133" s="1633"/>
      <c r="AB133" s="567"/>
      <c r="AC133" s="567"/>
      <c r="AD133" s="567"/>
      <c r="AE133" s="567"/>
      <c r="AF133" s="1642">
        <v>11</v>
      </c>
    </row>
    <row s="1642" customFormat="1" customHeight="1" ht="11.549999999999999">
      <c r="A134" s="988"/>
      <c r="B134" s="1637"/>
      <c r="C134" s="1637"/>
      <c r="D134" s="352"/>
      <c r="K134" s="1161"/>
      <c r="L134" s="1637"/>
      <c r="M134" s="1637"/>
      <c r="N134" s="1161"/>
      <c r="O134" s="1161"/>
      <c r="P134" s="1161"/>
      <c r="Q134" s="1161"/>
      <c r="R134" s="1637"/>
      <c r="S134" s="1161"/>
      <c r="T134" s="1161"/>
      <c r="U134" s="545"/>
      <c r="V134" s="1161"/>
      <c r="W134" s="1161"/>
      <c r="X134" s="1161"/>
      <c r="Y134" s="1161"/>
      <c r="Z134" s="1161"/>
      <c r="AA134" s="1633"/>
      <c r="AB134" s="567"/>
      <c r="AC134" s="567"/>
      <c r="AD134" s="567"/>
      <c r="AE134" s="567"/>
      <c r="AF134" s="1642">
        <v>11</v>
      </c>
    </row>
    <row s="1642" customFormat="1" customHeight="1" ht="11.549999999999999">
      <c r="A135" s="988"/>
      <c r="B135" s="1637"/>
      <c r="C135" s="1637"/>
      <c r="D135" s="352"/>
      <c r="K135" s="1161"/>
      <c r="L135" s="1637"/>
      <c r="M135" s="1637"/>
      <c r="N135" s="1161"/>
      <c r="O135" s="1161"/>
      <c r="P135" s="1161"/>
      <c r="Q135" s="1161"/>
      <c r="R135" s="1637"/>
      <c r="S135" s="1161"/>
      <c r="T135" s="1161"/>
      <c r="U135" s="545"/>
      <c r="V135" s="1161"/>
      <c r="W135" s="1161"/>
      <c r="X135" s="1161"/>
      <c r="Y135" s="1161"/>
      <c r="Z135" s="1161"/>
      <c r="AA135" s="1633"/>
      <c r="AB135" s="567"/>
      <c r="AC135" s="567"/>
      <c r="AD135" s="567"/>
      <c r="AE135" s="567"/>
      <c r="AF135" s="1642">
        <v>11</v>
      </c>
    </row>
    <row s="1642" customFormat="1" customHeight="1" ht="11.549999999999999">
      <c r="A136" s="988"/>
      <c r="B136" s="1637"/>
      <c r="C136" s="1637"/>
      <c r="D136" s="352"/>
      <c r="K136" s="1161"/>
      <c r="L136" s="1637"/>
      <c r="M136" s="1637"/>
      <c r="N136" s="1161"/>
      <c r="O136" s="1161"/>
      <c r="P136" s="1161"/>
      <c r="Q136" s="1161"/>
      <c r="R136" s="1637"/>
      <c r="S136" s="1161"/>
      <c r="T136" s="1161"/>
      <c r="U136" s="545"/>
      <c r="V136" s="1161"/>
      <c r="W136" s="1161"/>
      <c r="X136" s="1161"/>
      <c r="Y136" s="1161"/>
      <c r="Z136" s="1161"/>
      <c r="AA136" s="1633"/>
      <c r="AB136" s="567"/>
      <c r="AC136" s="567"/>
      <c r="AD136" s="567"/>
      <c r="AE136" s="567"/>
      <c r="AF136" s="1642">
        <v>11</v>
      </c>
    </row>
    <row s="1642" customFormat="1" customHeight="1" ht="11.549999999999999">
      <c r="A137" s="988"/>
      <c r="B137" s="1637"/>
      <c r="C137" s="1637"/>
      <c r="D137" s="352"/>
      <c r="K137" s="1161"/>
      <c r="L137" s="1637"/>
      <c r="M137" s="1637"/>
      <c r="N137" s="1161"/>
      <c r="O137" s="1161"/>
      <c r="P137" s="1161"/>
      <c r="Q137" s="1161"/>
      <c r="R137" s="1637"/>
      <c r="S137" s="1161"/>
      <c r="T137" s="1161"/>
      <c r="U137" s="545"/>
      <c r="V137" s="1161"/>
      <c r="W137" s="1161"/>
      <c r="X137" s="1161"/>
      <c r="Y137" s="1161"/>
      <c r="Z137" s="1161"/>
      <c r="AA137" s="1633"/>
      <c r="AB137" s="567"/>
      <c r="AC137" s="567"/>
      <c r="AD137" s="567"/>
      <c r="AE137" s="567"/>
      <c r="AF137" s="1642">
        <v>11</v>
      </c>
    </row>
    <row s="1642" customFormat="1" customHeight="1" ht="11.549999999999999">
      <c r="A138" s="988"/>
      <c r="B138" s="1637"/>
      <c r="C138" s="1637"/>
      <c r="D138" s="352"/>
      <c r="K138" s="1161"/>
      <c r="L138" s="1637"/>
      <c r="M138" s="1637"/>
      <c r="N138" s="1161"/>
      <c r="O138" s="1161"/>
      <c r="P138" s="1161"/>
      <c r="Q138" s="1161"/>
      <c r="R138" s="1637"/>
      <c r="S138" s="1161"/>
      <c r="T138" s="1161"/>
      <c r="U138" s="545"/>
      <c r="V138" s="1161"/>
      <c r="W138" s="1161"/>
      <c r="X138" s="1161"/>
      <c r="Y138" s="1161"/>
      <c r="Z138" s="1161"/>
      <c r="AA138" s="1633"/>
      <c r="AB138" s="567"/>
      <c r="AC138" s="567"/>
      <c r="AD138" s="567"/>
      <c r="AE138" s="567"/>
      <c r="AF138" s="1642">
        <v>11</v>
      </c>
    </row>
    <row s="1642" customFormat="1" customHeight="1" ht="11.549999999999999">
      <c r="A139" s="988"/>
      <c r="B139" s="1637"/>
      <c r="C139" s="1637"/>
      <c r="D139" s="352"/>
      <c r="K139" s="1161"/>
      <c r="L139" s="1637"/>
      <c r="M139" s="1637"/>
      <c r="N139" s="1161"/>
      <c r="O139" s="1161"/>
      <c r="P139" s="1161"/>
      <c r="Q139" s="1161"/>
      <c r="R139" s="1637"/>
      <c r="S139" s="1161"/>
      <c r="T139" s="1161"/>
      <c r="U139" s="545"/>
      <c r="V139" s="1161"/>
      <c r="W139" s="1161"/>
      <c r="X139" s="1161"/>
      <c r="Y139" s="1161"/>
      <c r="Z139" s="1161"/>
      <c r="AA139" s="1633"/>
      <c r="AB139" s="567"/>
      <c r="AC139" s="567"/>
      <c r="AD139" s="567"/>
      <c r="AE139" s="567"/>
      <c r="AF139" s="1642">
        <v>11</v>
      </c>
    </row>
    <row s="1642" customFormat="1" customHeight="1" ht="11.549999999999999">
      <c r="A140" s="988"/>
      <c r="B140" s="1637"/>
      <c r="C140" s="1637"/>
      <c r="D140" s="352"/>
      <c r="K140" s="1161"/>
      <c r="L140" s="1637"/>
      <c r="M140" s="1637"/>
      <c r="N140" s="1161"/>
      <c r="O140" s="1161"/>
      <c r="P140" s="1161"/>
      <c r="Q140" s="1161"/>
      <c r="R140" s="1637"/>
      <c r="S140" s="1161"/>
      <c r="T140" s="1161"/>
      <c r="U140" s="545"/>
      <c r="V140" s="1161"/>
      <c r="W140" s="1161"/>
      <c r="X140" s="1161"/>
      <c r="Y140" s="1161"/>
      <c r="Z140" s="1161"/>
      <c r="AA140" s="1633"/>
      <c r="AB140" s="567"/>
      <c r="AC140" s="567"/>
      <c r="AD140" s="567"/>
      <c r="AE140" s="567"/>
      <c r="AF140" s="1642">
        <v>11</v>
      </c>
    </row>
    <row s="1642" customFormat="1" customHeight="1" ht="11.549999999999999">
      <c r="A141" s="988"/>
      <c r="B141" s="1637"/>
      <c r="C141" s="1637"/>
      <c r="D141" s="352"/>
      <c r="K141" s="1161"/>
      <c r="L141" s="1637"/>
      <c r="M141" s="1637"/>
      <c r="N141" s="1161"/>
      <c r="O141" s="1161"/>
      <c r="P141" s="1161"/>
      <c r="Q141" s="1161"/>
      <c r="R141" s="1637"/>
      <c r="S141" s="1161"/>
      <c r="T141" s="1161"/>
      <c r="U141" s="545"/>
      <c r="V141" s="1161"/>
      <c r="W141" s="1161"/>
      <c r="X141" s="1161"/>
      <c r="Y141" s="1161"/>
      <c r="Z141" s="1161"/>
      <c r="AA141" s="1633"/>
      <c r="AB141" s="567"/>
      <c r="AC141" s="567"/>
      <c r="AD141" s="567"/>
      <c r="AE141" s="567"/>
      <c r="AF141" s="1642">
        <v>11</v>
      </c>
    </row>
    <row s="1642" customFormat="1" customHeight="1" ht="11.549999999999999">
      <c r="A142" s="988"/>
      <c r="B142" s="1637"/>
      <c r="C142" s="1637"/>
      <c r="D142" s="352"/>
      <c r="K142" s="1161"/>
      <c r="L142" s="1637"/>
      <c r="M142" s="1637"/>
      <c r="N142" s="1161"/>
      <c r="O142" s="1161"/>
      <c r="P142" s="1161"/>
      <c r="Q142" s="1161"/>
      <c r="R142" s="1637"/>
      <c r="S142" s="1161"/>
      <c r="T142" s="1161"/>
      <c r="U142" s="545"/>
      <c r="V142" s="1161"/>
      <c r="W142" s="1161"/>
      <c r="X142" s="1161"/>
      <c r="Y142" s="1161"/>
      <c r="Z142" s="1161"/>
      <c r="AA142" s="1633"/>
      <c r="AB142" s="567"/>
      <c r="AC142" s="567"/>
      <c r="AD142" s="567"/>
      <c r="AE142" s="567"/>
      <c r="AF142" s="1642">
        <v>11</v>
      </c>
    </row>
    <row s="1642" customFormat="1" customHeight="1" ht="11.549999999999999">
      <c r="A143" s="988"/>
      <c r="B143" s="1637"/>
      <c r="C143" s="1637"/>
      <c r="D143" s="352"/>
      <c r="K143" s="1161"/>
      <c r="L143" s="1637"/>
      <c r="M143" s="1637"/>
      <c r="N143" s="1161"/>
      <c r="O143" s="1161"/>
      <c r="P143" s="1161"/>
      <c r="Q143" s="1161"/>
      <c r="R143" s="1637"/>
      <c r="S143" s="1161"/>
      <c r="T143" s="1161"/>
      <c r="U143" s="545"/>
      <c r="V143" s="1161"/>
      <c r="W143" s="1161"/>
      <c r="X143" s="1161"/>
      <c r="Y143" s="1161"/>
      <c r="Z143" s="1161"/>
      <c r="AA143" s="1633"/>
      <c r="AB143" s="567"/>
      <c r="AC143" s="567"/>
      <c r="AD143" s="567"/>
      <c r="AE143" s="567"/>
      <c r="AF143" s="1642">
        <v>11</v>
      </c>
    </row>
    <row s="1642" customFormat="1" customHeight="1" ht="11.549999999999999">
      <c r="A144" s="988"/>
      <c r="B144" s="1637"/>
      <c r="C144" s="1637"/>
      <c r="D144" s="352"/>
      <c r="K144" s="1161"/>
      <c r="L144" s="1637"/>
      <c r="M144" s="1637"/>
      <c r="N144" s="1161"/>
      <c r="O144" s="1161"/>
      <c r="P144" s="1161"/>
      <c r="Q144" s="1161"/>
      <c r="R144" s="1637"/>
      <c r="S144" s="1161"/>
      <c r="T144" s="1161"/>
      <c r="U144" s="545"/>
      <c r="V144" s="1161"/>
      <c r="W144" s="1161"/>
      <c r="X144" s="1161"/>
      <c r="Y144" s="1161"/>
      <c r="Z144" s="1161"/>
      <c r="AA144" s="1633"/>
      <c r="AB144" s="567"/>
      <c r="AC144" s="567"/>
      <c r="AD144" s="567"/>
      <c r="AE144" s="567"/>
      <c r="AF144" s="1642">
        <v>11</v>
      </c>
    </row>
    <row s="1642" customFormat="1" customHeight="1" ht="11.549999999999999">
      <c r="A145" s="988"/>
      <c r="B145" s="1637"/>
      <c r="C145" s="1637"/>
      <c r="D145" s="352"/>
      <c r="K145" s="1161"/>
      <c r="L145" s="1637"/>
      <c r="M145" s="1637"/>
      <c r="N145" s="1161"/>
      <c r="O145" s="1161"/>
      <c r="P145" s="1161"/>
      <c r="Q145" s="1161"/>
      <c r="R145" s="1637"/>
      <c r="S145" s="1161"/>
      <c r="T145" s="1161"/>
      <c r="U145" s="545"/>
      <c r="V145" s="1161"/>
      <c r="W145" s="1161"/>
      <c r="X145" s="1161"/>
      <c r="Y145" s="1161"/>
      <c r="Z145" s="1161"/>
      <c r="AA145" s="1633"/>
      <c r="AB145" s="567"/>
      <c r="AC145" s="567"/>
      <c r="AD145" s="567"/>
      <c r="AE145" s="567"/>
      <c r="AF145" s="1642">
        <v>11</v>
      </c>
    </row>
    <row s="1642" customFormat="1" customHeight="1" ht="11.549999999999999">
      <c r="A146" s="988"/>
      <c r="B146" s="1637"/>
      <c r="C146" s="1637"/>
      <c r="D146" s="352"/>
      <c r="K146" s="1161"/>
      <c r="L146" s="1637"/>
      <c r="M146" s="1637"/>
      <c r="N146" s="1161"/>
      <c r="O146" s="1161"/>
      <c r="P146" s="1161"/>
      <c r="Q146" s="1161"/>
      <c r="R146" s="1637"/>
      <c r="S146" s="1161"/>
      <c r="T146" s="1161"/>
      <c r="U146" s="545"/>
      <c r="V146" s="1161"/>
      <c r="W146" s="1161"/>
      <c r="X146" s="1161"/>
      <c r="Y146" s="1161"/>
      <c r="Z146" s="1161"/>
      <c r="AA146" s="1633"/>
      <c r="AB146" s="567"/>
      <c r="AC146" s="567"/>
      <c r="AD146" s="567"/>
      <c r="AE146" s="567"/>
      <c r="AF146" s="1642">
        <v>11</v>
      </c>
    </row>
    <row s="1642" customFormat="1" customHeight="1" ht="11.549999999999999">
      <c r="A147" s="988"/>
      <c r="B147" s="1637"/>
      <c r="C147" s="1637"/>
      <c r="D147" s="352"/>
      <c r="K147" s="1161"/>
      <c r="L147" s="1637"/>
      <c r="M147" s="1637"/>
      <c r="N147" s="1161"/>
      <c r="O147" s="1161"/>
      <c r="P147" s="1161"/>
      <c r="Q147" s="1161"/>
      <c r="R147" s="1637"/>
      <c r="S147" s="1161"/>
      <c r="T147" s="1161"/>
      <c r="U147" s="545"/>
      <c r="V147" s="1161"/>
      <c r="W147" s="1161"/>
      <c r="X147" s="1161"/>
      <c r="Y147" s="1161"/>
      <c r="Z147" s="1161"/>
      <c r="AA147" s="1633"/>
      <c r="AB147" s="567"/>
      <c r="AC147" s="567"/>
      <c r="AD147" s="567"/>
      <c r="AE147" s="567"/>
      <c r="AF147" s="1642">
        <v>11</v>
      </c>
    </row>
    <row s="1642" customFormat="1" customHeight="1" ht="11.549999999999999">
      <c r="A148" s="988"/>
      <c r="B148" s="1637"/>
      <c r="C148" s="1637"/>
      <c r="D148" s="352"/>
      <c r="K148" s="1161"/>
      <c r="L148" s="1637"/>
      <c r="M148" s="1637"/>
      <c r="N148" s="1161"/>
      <c r="O148" s="1161"/>
      <c r="P148" s="1161"/>
      <c r="Q148" s="1161"/>
      <c r="R148" s="1637"/>
      <c r="S148" s="1161"/>
      <c r="T148" s="1161"/>
      <c r="U148" s="545"/>
      <c r="V148" s="1161"/>
      <c r="W148" s="1161"/>
      <c r="X148" s="1161"/>
      <c r="Y148" s="1161"/>
      <c r="Z148" s="1161"/>
      <c r="AA148" s="1633"/>
      <c r="AB148" s="567"/>
      <c r="AC148" s="567"/>
      <c r="AD148" s="567"/>
      <c r="AE148" s="567"/>
      <c r="AF148" s="1642">
        <v>11</v>
      </c>
    </row>
    <row s="1642" customFormat="1" customHeight="1" ht="11.549999999999999">
      <c r="A149" s="988"/>
      <c r="B149" s="1637"/>
      <c r="C149" s="1637"/>
      <c r="D149" s="352"/>
      <c r="K149" s="1161"/>
      <c r="L149" s="1637"/>
      <c r="M149" s="1637"/>
      <c r="N149" s="1161"/>
      <c r="O149" s="1161"/>
      <c r="P149" s="1161"/>
      <c r="Q149" s="1161"/>
      <c r="R149" s="1637"/>
      <c r="S149" s="1161"/>
      <c r="T149" s="1161"/>
      <c r="U149" s="545"/>
      <c r="V149" s="1161"/>
      <c r="W149" s="1161"/>
      <c r="X149" s="1161"/>
      <c r="Y149" s="1161"/>
      <c r="Z149" s="1161"/>
      <c r="AA149" s="1633"/>
      <c r="AB149" s="567"/>
      <c r="AC149" s="567"/>
      <c r="AD149" s="567"/>
      <c r="AE149" s="567"/>
      <c r="AF149" s="1642">
        <v>11</v>
      </c>
    </row>
    <row s="1642" customFormat="1" customHeight="1" ht="11.549999999999999">
      <c r="A150" s="988"/>
      <c r="B150" s="1637"/>
      <c r="C150" s="1637"/>
      <c r="D150" s="352"/>
      <c r="K150" s="1161"/>
      <c r="L150" s="1637"/>
      <c r="M150" s="1637"/>
      <c r="N150" s="1161"/>
      <c r="O150" s="1161"/>
      <c r="P150" s="1161"/>
      <c r="Q150" s="1161"/>
      <c r="R150" s="1637"/>
      <c r="S150" s="1161"/>
      <c r="T150" s="1161"/>
      <c r="U150" s="545"/>
      <c r="V150" s="1161"/>
      <c r="W150" s="1161"/>
      <c r="X150" s="1161"/>
      <c r="Y150" s="1161"/>
      <c r="Z150" s="1161"/>
      <c r="AA150" s="1633"/>
      <c r="AB150" s="567"/>
      <c r="AC150" s="567"/>
      <c r="AD150" s="567"/>
      <c r="AE150" s="567"/>
      <c r="AF150" s="1642">
        <v>11</v>
      </c>
    </row>
    <row s="1642" customFormat="1" customHeight="1" ht="11.549999999999999">
      <c r="A151" s="988"/>
      <c r="B151" s="1637"/>
      <c r="C151" s="1637"/>
      <c r="D151" s="352"/>
      <c r="K151" s="1161"/>
      <c r="L151" s="1637"/>
      <c r="M151" s="1637"/>
      <c r="N151" s="1161"/>
      <c r="O151" s="1161"/>
      <c r="P151" s="1161"/>
      <c r="Q151" s="1161"/>
      <c r="R151" s="1637"/>
      <c r="S151" s="1161"/>
      <c r="T151" s="1161"/>
      <c r="U151" s="545"/>
      <c r="V151" s="1161"/>
      <c r="W151" s="1161"/>
      <c r="X151" s="1161"/>
      <c r="Y151" s="1161"/>
      <c r="Z151" s="1161"/>
      <c r="AA151" s="1633"/>
      <c r="AB151" s="567"/>
      <c r="AC151" s="567"/>
      <c r="AD151" s="567"/>
      <c r="AE151" s="567"/>
      <c r="AF151" s="1642">
        <v>11</v>
      </c>
    </row>
    <row s="1642" customFormat="1" customHeight="1" ht="11.549999999999999">
      <c r="A152" s="988"/>
      <c r="B152" s="1637"/>
      <c r="C152" s="1637"/>
      <c r="D152" s="352"/>
      <c r="K152" s="1161"/>
      <c r="L152" s="1637"/>
      <c r="M152" s="1637"/>
      <c r="N152" s="1161"/>
      <c r="O152" s="1161"/>
      <c r="P152" s="1161"/>
      <c r="Q152" s="1161"/>
      <c r="R152" s="1637"/>
      <c r="S152" s="1161"/>
      <c r="T152" s="1161"/>
      <c r="U152" s="545"/>
      <c r="V152" s="1161"/>
      <c r="W152" s="1161"/>
      <c r="X152" s="1161"/>
      <c r="Y152" s="1161"/>
      <c r="Z152" s="1161"/>
      <c r="AA152" s="1633"/>
      <c r="AB152" s="567"/>
      <c r="AC152" s="567"/>
      <c r="AD152" s="567"/>
      <c r="AE152" s="567"/>
      <c r="AF152" s="1642">
        <v>11</v>
      </c>
    </row>
    <row s="1642" customFormat="1" customHeight="1" ht="11.549999999999999">
      <c r="A153" s="988"/>
      <c r="B153" s="1637"/>
      <c r="C153" s="1637"/>
      <c r="D153" s="352"/>
      <c r="K153" s="1161"/>
      <c r="L153" s="1637"/>
      <c r="M153" s="1637"/>
      <c r="N153" s="1161"/>
      <c r="O153" s="1161"/>
      <c r="P153" s="1161"/>
      <c r="Q153" s="1161"/>
      <c r="R153" s="1637"/>
      <c r="S153" s="1161"/>
      <c r="T153" s="1161"/>
      <c r="U153" s="545"/>
      <c r="V153" s="1161"/>
      <c r="W153" s="1161"/>
      <c r="X153" s="1161"/>
      <c r="Y153" s="1161"/>
      <c r="Z153" s="1161"/>
      <c r="AA153" s="1633"/>
      <c r="AB153" s="567"/>
      <c r="AC153" s="567"/>
      <c r="AD153" s="567"/>
      <c r="AE153" s="567"/>
      <c r="AF153" s="1642">
        <v>11</v>
      </c>
    </row>
    <row s="1642" customFormat="1" customHeight="1" ht="11.549999999999999">
      <c r="A154" s="988"/>
      <c r="B154" s="1637"/>
      <c r="C154" s="1637"/>
      <c r="D154" s="352"/>
      <c r="K154" s="1161"/>
      <c r="L154" s="1637"/>
      <c r="M154" s="1637"/>
      <c r="N154" s="1161"/>
      <c r="O154" s="1161"/>
      <c r="P154" s="1161"/>
      <c r="Q154" s="1161"/>
      <c r="R154" s="1637"/>
      <c r="S154" s="1161"/>
      <c r="T154" s="1161"/>
      <c r="U154" s="545"/>
      <c r="V154" s="1161"/>
      <c r="W154" s="1161"/>
      <c r="X154" s="1161"/>
      <c r="Y154" s="1161"/>
      <c r="Z154" s="1161"/>
      <c r="AA154" s="1633"/>
      <c r="AB154" s="567"/>
      <c r="AC154" s="567"/>
      <c r="AD154" s="567"/>
      <c r="AE154" s="567"/>
      <c r="AF154" s="1642">
        <v>11</v>
      </c>
    </row>
    <row s="1642" customFormat="1" customHeight="1" ht="11.549999999999999">
      <c r="A155" s="988"/>
      <c r="B155" s="1637"/>
      <c r="C155" s="1637"/>
      <c r="D155" s="352"/>
      <c r="K155" s="1161"/>
      <c r="L155" s="1637"/>
      <c r="M155" s="1637"/>
      <c r="N155" s="1161"/>
      <c r="O155" s="1161"/>
      <c r="P155" s="1161"/>
      <c r="Q155" s="1161"/>
      <c r="R155" s="1637"/>
      <c r="S155" s="1161"/>
      <c r="T155" s="1161"/>
      <c r="U155" s="545"/>
      <c r="V155" s="1161"/>
      <c r="W155" s="1161"/>
      <c r="X155" s="1161"/>
      <c r="Y155" s="1161"/>
      <c r="Z155" s="1161"/>
      <c r="AA155" s="1633"/>
      <c r="AB155" s="567"/>
      <c r="AC155" s="567"/>
      <c r="AD155" s="567"/>
      <c r="AE155" s="567"/>
      <c r="AF155" s="1642">
        <v>11</v>
      </c>
    </row>
    <row s="1642" customFormat="1" customHeight="1" ht="11.549999999999999">
      <c r="A156" s="988"/>
      <c r="B156" s="1637"/>
      <c r="C156" s="1637"/>
      <c r="D156" s="352"/>
      <c r="K156" s="1161"/>
      <c r="L156" s="1637"/>
      <c r="M156" s="1637"/>
      <c r="N156" s="1161"/>
      <c r="O156" s="1161"/>
      <c r="P156" s="1161"/>
      <c r="Q156" s="1161"/>
      <c r="R156" s="1637"/>
      <c r="S156" s="1161"/>
      <c r="T156" s="1161"/>
      <c r="U156" s="545"/>
      <c r="V156" s="1161"/>
      <c r="W156" s="1161"/>
      <c r="X156" s="1161"/>
      <c r="Y156" s="1161"/>
      <c r="Z156" s="1161"/>
      <c r="AA156" s="1633"/>
      <c r="AB156" s="567"/>
      <c r="AC156" s="567"/>
      <c r="AD156" s="567"/>
      <c r="AE156" s="567"/>
      <c r="AF156" s="1642">
        <v>11</v>
      </c>
    </row>
    <row s="1642" customFormat="1" customHeight="1" ht="11.549999999999999">
      <c r="A157" s="988"/>
      <c r="B157" s="1637"/>
      <c r="C157" s="1637"/>
      <c r="D157" s="352"/>
      <c r="K157" s="1161"/>
      <c r="L157" s="1637"/>
      <c r="M157" s="1637"/>
      <c r="N157" s="1161"/>
      <c r="O157" s="1161"/>
      <c r="P157" s="1161"/>
      <c r="Q157" s="1161"/>
      <c r="R157" s="1637"/>
      <c r="S157" s="1161"/>
      <c r="T157" s="1161"/>
      <c r="U157" s="545"/>
      <c r="V157" s="1161"/>
      <c r="W157" s="1161"/>
      <c r="X157" s="1161"/>
      <c r="Y157" s="1161"/>
      <c r="Z157" s="1161"/>
      <c r="AA157" s="1633"/>
      <c r="AB157" s="567"/>
      <c r="AC157" s="567"/>
      <c r="AD157" s="567"/>
      <c r="AE157" s="567"/>
      <c r="AF157" s="1642">
        <v>11</v>
      </c>
    </row>
    <row s="1642" customFormat="1" customHeight="1" ht="11.549999999999999">
      <c r="A158" s="988"/>
      <c r="B158" s="1637"/>
      <c r="C158" s="1637"/>
      <c r="D158" s="352"/>
      <c r="K158" s="1161"/>
      <c r="L158" s="1637"/>
      <c r="M158" s="1637"/>
      <c r="N158" s="1161"/>
      <c r="O158" s="1161"/>
      <c r="P158" s="1161"/>
      <c r="Q158" s="1161"/>
      <c r="R158" s="1637"/>
      <c r="S158" s="1161"/>
      <c r="T158" s="1161"/>
      <c r="U158" s="545"/>
      <c r="V158" s="1161"/>
      <c r="W158" s="1161"/>
      <c r="X158" s="1161"/>
      <c r="Y158" s="1161"/>
      <c r="Z158" s="1161"/>
      <c r="AA158" s="1633"/>
      <c r="AB158" s="567"/>
      <c r="AC158" s="567"/>
      <c r="AD158" s="567"/>
      <c r="AE158" s="567"/>
      <c r="AF158" s="1642">
        <v>11</v>
      </c>
    </row>
    <row s="1642" customFormat="1" customHeight="1" ht="11.549999999999999">
      <c r="A159" s="988"/>
      <c r="B159" s="1637"/>
      <c r="C159" s="1637"/>
      <c r="D159" s="352"/>
      <c r="K159" s="1161"/>
      <c r="L159" s="1637"/>
      <c r="M159" s="1637"/>
      <c r="N159" s="1161"/>
      <c r="O159" s="1161"/>
      <c r="P159" s="1161"/>
      <c r="Q159" s="1161"/>
      <c r="R159" s="1637"/>
      <c r="S159" s="1161"/>
      <c r="T159" s="1161"/>
      <c r="U159" s="545"/>
      <c r="V159" s="1161"/>
      <c r="W159" s="1161"/>
      <c r="X159" s="1161"/>
      <c r="Y159" s="1161"/>
      <c r="Z159" s="1161"/>
      <c r="AA159" s="1633"/>
      <c r="AB159" s="567"/>
      <c r="AC159" s="567"/>
      <c r="AD159" s="567"/>
      <c r="AE159" s="567"/>
      <c r="AF159" s="1642">
        <v>11</v>
      </c>
    </row>
    <row s="1642" customFormat="1" customHeight="1" ht="11.549999999999999">
      <c r="A160" s="988"/>
      <c r="B160" s="1637"/>
      <c r="C160" s="1637"/>
      <c r="D160" s="352"/>
      <c r="K160" s="1161"/>
      <c r="L160" s="1637"/>
      <c r="M160" s="1637"/>
      <c r="N160" s="1161"/>
      <c r="O160" s="1161"/>
      <c r="P160" s="1161"/>
      <c r="Q160" s="1161"/>
      <c r="R160" s="1637"/>
      <c r="S160" s="1161"/>
      <c r="T160" s="1161"/>
      <c r="U160" s="545"/>
      <c r="V160" s="1161"/>
      <c r="W160" s="1161"/>
      <c r="X160" s="1161"/>
      <c r="Y160" s="1161"/>
      <c r="Z160" s="1161"/>
      <c r="AA160" s="1633"/>
      <c r="AB160" s="567"/>
      <c r="AC160" s="567"/>
      <c r="AD160" s="567"/>
      <c r="AE160" s="567"/>
      <c r="AF160" s="1642">
        <v>11</v>
      </c>
    </row>
    <row s="1642" customFormat="1" customHeight="1" ht="11.549999999999999">
      <c r="A161" s="988"/>
      <c r="B161" s="1637"/>
      <c r="C161" s="1637"/>
      <c r="D161" s="352"/>
      <c r="K161" s="1161"/>
      <c r="L161" s="1637"/>
      <c r="M161" s="1637"/>
      <c r="N161" s="1161"/>
      <c r="O161" s="1161"/>
      <c r="P161" s="1161"/>
      <c r="Q161" s="1161"/>
      <c r="R161" s="1637"/>
      <c r="S161" s="1161"/>
      <c r="T161" s="1161"/>
      <c r="U161" s="545"/>
      <c r="V161" s="1161"/>
      <c r="W161" s="1161"/>
      <c r="X161" s="1161"/>
      <c r="Y161" s="1161"/>
      <c r="Z161" s="1161"/>
      <c r="AA161" s="1633"/>
      <c r="AB161" s="567"/>
      <c r="AC161" s="567"/>
      <c r="AD161" s="567"/>
      <c r="AE161" s="567"/>
      <c r="AF161" s="1642">
        <v>11</v>
      </c>
    </row>
    <row s="1642" customFormat="1" customHeight="1" ht="11.549999999999999">
      <c r="A162" s="988"/>
      <c r="B162" s="1637"/>
      <c r="C162" s="1637"/>
      <c r="D162" s="352"/>
      <c r="K162" s="1161"/>
      <c r="L162" s="1637"/>
      <c r="M162" s="1637"/>
      <c r="N162" s="1161"/>
      <c r="O162" s="1161"/>
      <c r="P162" s="1161"/>
      <c r="Q162" s="1161"/>
      <c r="R162" s="1637"/>
      <c r="S162" s="1161"/>
      <c r="T162" s="1161"/>
      <c r="U162" s="545"/>
      <c r="V162" s="1161"/>
      <c r="W162" s="1161"/>
      <c r="X162" s="1161"/>
      <c r="Y162" s="1161"/>
      <c r="Z162" s="1161"/>
      <c r="AA162" s="1633"/>
      <c r="AB162" s="567"/>
      <c r="AC162" s="567"/>
      <c r="AD162" s="567"/>
      <c r="AE162" s="567"/>
      <c r="AF162" s="1642">
        <v>11</v>
      </c>
    </row>
    <row s="1642" customFormat="1" customHeight="1" ht="11.549999999999999">
      <c r="A163" s="988"/>
      <c r="B163" s="1637"/>
      <c r="C163" s="1637"/>
      <c r="D163" s="352"/>
      <c r="K163" s="1161"/>
      <c r="L163" s="1637"/>
      <c r="M163" s="1637"/>
      <c r="N163" s="1161"/>
      <c r="O163" s="1161"/>
      <c r="P163" s="1161"/>
      <c r="Q163" s="1161"/>
      <c r="R163" s="1637"/>
      <c r="S163" s="1161"/>
      <c r="T163" s="1161"/>
      <c r="U163" s="545"/>
      <c r="V163" s="1161"/>
      <c r="W163" s="1161"/>
      <c r="X163" s="1161"/>
      <c r="Y163" s="1161"/>
      <c r="Z163" s="1161"/>
      <c r="AA163" s="1633"/>
      <c r="AB163" s="567"/>
      <c r="AC163" s="567"/>
      <c r="AD163" s="567"/>
      <c r="AE163" s="567"/>
      <c r="AF163" s="1642">
        <v>11</v>
      </c>
    </row>
    <row s="1642" customFormat="1" customHeight="1" ht="11.549999999999999">
      <c r="A164" s="988"/>
      <c r="B164" s="1637"/>
      <c r="C164" s="1637"/>
      <c r="D164" s="352"/>
      <c r="K164" s="1161"/>
      <c r="L164" s="1637"/>
      <c r="M164" s="1637"/>
      <c r="N164" s="1161"/>
      <c r="O164" s="1161"/>
      <c r="P164" s="1161"/>
      <c r="Q164" s="1161"/>
      <c r="R164" s="1637"/>
      <c r="S164" s="1161"/>
      <c r="T164" s="1161"/>
      <c r="U164" s="545"/>
      <c r="V164" s="1161"/>
      <c r="W164" s="1161"/>
      <c r="X164" s="1161"/>
      <c r="Y164" s="1161"/>
      <c r="Z164" s="1161"/>
      <c r="AA164" s="1633"/>
      <c r="AB164" s="567"/>
      <c r="AC164" s="567"/>
      <c r="AD164" s="567"/>
      <c r="AE164" s="567"/>
      <c r="AF164" s="1642">
        <v>11</v>
      </c>
    </row>
    <row s="1642" customFormat="1" customHeight="1" ht="11.549999999999999">
      <c r="A165" s="988"/>
      <c r="B165" s="1637"/>
      <c r="C165" s="1637"/>
      <c r="D165" s="352"/>
      <c r="K165" s="1161"/>
      <c r="L165" s="1637"/>
      <c r="M165" s="1637"/>
      <c r="N165" s="1161"/>
      <c r="O165" s="1161"/>
      <c r="P165" s="1161"/>
      <c r="Q165" s="1161"/>
      <c r="R165" s="1637"/>
      <c r="S165" s="1161"/>
      <c r="T165" s="1161"/>
      <c r="U165" s="545"/>
      <c r="V165" s="1161"/>
      <c r="W165" s="1161"/>
      <c r="X165" s="1161"/>
      <c r="Y165" s="1161"/>
      <c r="Z165" s="1161"/>
      <c r="AA165" s="1633"/>
      <c r="AB165" s="567"/>
      <c r="AC165" s="567"/>
      <c r="AD165" s="567"/>
      <c r="AE165" s="567"/>
      <c r="AF165" s="1642">
        <v>11</v>
      </c>
    </row>
    <row s="1642" customFormat="1" customHeight="1" ht="11.549999999999999">
      <c r="A166" s="988"/>
      <c r="B166" s="1637"/>
      <c r="C166" s="1637"/>
      <c r="D166" s="352"/>
      <c r="K166" s="1161"/>
      <c r="L166" s="1637"/>
      <c r="M166" s="1637"/>
      <c r="N166" s="1161"/>
      <c r="O166" s="1161"/>
      <c r="P166" s="1161"/>
      <c r="Q166" s="1161"/>
      <c r="R166" s="1637"/>
      <c r="S166" s="1161"/>
      <c r="T166" s="1161"/>
      <c r="U166" s="545"/>
      <c r="V166" s="1161"/>
      <c r="W166" s="1161"/>
      <c r="X166" s="1161"/>
      <c r="Y166" s="1161"/>
      <c r="Z166" s="1161"/>
      <c r="AA166" s="1633"/>
      <c r="AB166" s="567"/>
      <c r="AC166" s="567"/>
      <c r="AD166" s="567"/>
      <c r="AE166" s="567"/>
      <c r="AF166" s="1642">
        <v>11</v>
      </c>
    </row>
    <row s="1642" customFormat="1" customHeight="1" ht="11.549999999999999">
      <c r="A167" s="988"/>
      <c r="B167" s="1637"/>
      <c r="C167" s="1637"/>
      <c r="D167" s="352"/>
      <c r="K167" s="1161"/>
      <c r="L167" s="1637"/>
      <c r="M167" s="1637"/>
      <c r="N167" s="1161"/>
      <c r="O167" s="1161"/>
      <c r="P167" s="1161"/>
      <c r="Q167" s="1161"/>
      <c r="R167" s="1637"/>
      <c r="S167" s="1161"/>
      <c r="T167" s="1161"/>
      <c r="U167" s="545"/>
      <c r="V167" s="1161"/>
      <c r="W167" s="1161"/>
      <c r="X167" s="1161"/>
      <c r="Y167" s="1161"/>
      <c r="Z167" s="1161"/>
      <c r="AA167" s="1633"/>
      <c r="AB167" s="567"/>
      <c r="AC167" s="567"/>
      <c r="AD167" s="567"/>
      <c r="AE167" s="567"/>
      <c r="AF167" s="1642">
        <v>11</v>
      </c>
    </row>
    <row s="1642" customFormat="1" customHeight="1" ht="11.549999999999999">
      <c r="A168" s="988"/>
      <c r="B168" s="1637"/>
      <c r="C168" s="1637"/>
      <c r="D168" s="352"/>
      <c r="K168" s="1161"/>
      <c r="L168" s="1637"/>
      <c r="M168" s="1637"/>
      <c r="N168" s="1161"/>
      <c r="O168" s="1161"/>
      <c r="P168" s="1161"/>
      <c r="Q168" s="1161"/>
      <c r="R168" s="1637"/>
      <c r="S168" s="1161"/>
      <c r="T168" s="1161"/>
      <c r="U168" s="545"/>
      <c r="V168" s="1161"/>
      <c r="W168" s="1161"/>
      <c r="X168" s="1161"/>
      <c r="Y168" s="1161"/>
      <c r="Z168" s="1161"/>
      <c r="AA168" s="1633"/>
      <c r="AB168" s="567"/>
      <c r="AC168" s="567"/>
      <c r="AD168" s="567"/>
      <c r="AE168" s="567"/>
      <c r="AF168" s="1642">
        <v>11</v>
      </c>
    </row>
    <row s="1642" customFormat="1" customHeight="1" ht="11.549999999999999">
      <c r="A169" s="988"/>
      <c r="B169" s="1637"/>
      <c r="C169" s="1637"/>
      <c r="D169" s="352"/>
      <c r="K169" s="1161"/>
      <c r="L169" s="1637"/>
      <c r="M169" s="1637"/>
      <c r="N169" s="1161"/>
      <c r="O169" s="1161"/>
      <c r="P169" s="1161"/>
      <c r="Q169" s="1161"/>
      <c r="R169" s="1637"/>
      <c r="S169" s="1161"/>
      <c r="T169" s="1161"/>
      <c r="U169" s="545"/>
      <c r="V169" s="1161"/>
      <c r="W169" s="1161"/>
      <c r="X169" s="1161"/>
      <c r="Y169" s="1161"/>
      <c r="Z169" s="1161"/>
      <c r="AA169" s="1633"/>
      <c r="AB169" s="567"/>
      <c r="AC169" s="567"/>
      <c r="AD169" s="567"/>
      <c r="AE169" s="567"/>
      <c r="AF169" s="1642">
        <v>11</v>
      </c>
    </row>
    <row s="1642" customFormat="1" customHeight="1" ht="11.549999999999999">
      <c r="A170" s="988"/>
      <c r="B170" s="1637"/>
      <c r="C170" s="1637"/>
      <c r="D170" s="352"/>
      <c r="K170" s="1161"/>
      <c r="L170" s="1637"/>
      <c r="M170" s="1637"/>
      <c r="N170" s="1161"/>
      <c r="O170" s="1161"/>
      <c r="P170" s="1161"/>
      <c r="Q170" s="1161"/>
      <c r="R170" s="1637"/>
      <c r="S170" s="1161"/>
      <c r="T170" s="1161"/>
      <c r="U170" s="545"/>
      <c r="V170" s="1161"/>
      <c r="W170" s="1161"/>
      <c r="X170" s="1161"/>
      <c r="Y170" s="1161"/>
      <c r="Z170" s="1161"/>
      <c r="AA170" s="1633"/>
      <c r="AB170" s="567"/>
      <c r="AC170" s="567"/>
      <c r="AD170" s="567"/>
      <c r="AE170" s="567"/>
      <c r="AF170" s="1642">
        <v>11</v>
      </c>
    </row>
    <row s="1642" customFormat="1" customHeight="1" ht="11.549999999999999">
      <c r="A171" s="988"/>
      <c r="B171" s="1637"/>
      <c r="C171" s="1637"/>
      <c r="D171" s="352"/>
      <c r="K171" s="1161"/>
      <c r="L171" s="1637"/>
      <c r="M171" s="1637"/>
      <c r="N171" s="1161"/>
      <c r="O171" s="1161"/>
      <c r="P171" s="1161"/>
      <c r="Q171" s="1161"/>
      <c r="R171" s="1637"/>
      <c r="S171" s="1161"/>
      <c r="T171" s="1161"/>
      <c r="U171" s="545"/>
      <c r="V171" s="1161"/>
      <c r="W171" s="1161"/>
      <c r="X171" s="1161"/>
      <c r="Y171" s="1161"/>
      <c r="Z171" s="1161"/>
      <c r="AA171" s="1633"/>
      <c r="AB171" s="567"/>
      <c r="AC171" s="567"/>
      <c r="AD171" s="567"/>
      <c r="AE171" s="567"/>
      <c r="AF171" s="1642">
        <v>11</v>
      </c>
    </row>
    <row s="1642" customFormat="1" customHeight="1" ht="11.549999999999999">
      <c r="A172" s="988"/>
      <c r="B172" s="1637"/>
      <c r="C172" s="1637"/>
      <c r="D172" s="352"/>
      <c r="K172" s="1161"/>
      <c r="L172" s="1637"/>
      <c r="M172" s="1637"/>
      <c r="N172" s="1161"/>
      <c r="O172" s="1161"/>
      <c r="P172" s="1161"/>
      <c r="Q172" s="1161"/>
      <c r="R172" s="1637"/>
      <c r="S172" s="1161"/>
      <c r="T172" s="1161"/>
      <c r="U172" s="545"/>
      <c r="V172" s="1161"/>
      <c r="W172" s="1161"/>
      <c r="X172" s="1161"/>
      <c r="Y172" s="1161"/>
      <c r="Z172" s="1161"/>
      <c r="AA172" s="1633"/>
      <c r="AB172" s="567"/>
      <c r="AC172" s="567"/>
      <c r="AD172" s="567"/>
      <c r="AE172" s="567"/>
      <c r="AF172" s="1642">
        <v>11</v>
      </c>
    </row>
    <row s="1642" customFormat="1" customHeight="1" ht="11.549999999999999">
      <c r="A173" s="988"/>
      <c r="B173" s="1637"/>
      <c r="C173" s="1637"/>
      <c r="D173" s="352"/>
      <c r="K173" s="1161"/>
      <c r="L173" s="1637"/>
      <c r="M173" s="1637"/>
      <c r="N173" s="1161"/>
      <c r="O173" s="1161"/>
      <c r="P173" s="1161"/>
      <c r="Q173" s="1161"/>
      <c r="R173" s="1637"/>
      <c r="S173" s="1161"/>
      <c r="T173" s="1161"/>
      <c r="U173" s="545"/>
      <c r="V173" s="1161"/>
      <c r="W173" s="1161"/>
      <c r="X173" s="1161"/>
      <c r="Y173" s="1161"/>
      <c r="Z173" s="1161"/>
      <c r="AA173" s="1633"/>
      <c r="AB173" s="567"/>
      <c r="AC173" s="567"/>
      <c r="AD173" s="567"/>
      <c r="AE173" s="567"/>
      <c r="AF173" s="1642">
        <v>11</v>
      </c>
    </row>
    <row s="1642" customFormat="1" customHeight="1" ht="11.549999999999999">
      <c r="A174" s="988"/>
      <c r="B174" s="1637"/>
      <c r="C174" s="1637"/>
      <c r="D174" s="352"/>
      <c r="K174" s="1161"/>
      <c r="L174" s="1637"/>
      <c r="M174" s="1637"/>
      <c r="N174" s="1161"/>
      <c r="O174" s="1161"/>
      <c r="P174" s="1161"/>
      <c r="Q174" s="1161"/>
      <c r="R174" s="1637"/>
      <c r="S174" s="1161"/>
      <c r="T174" s="1161"/>
      <c r="U174" s="545"/>
      <c r="V174" s="1161"/>
      <c r="W174" s="1161"/>
      <c r="X174" s="1161"/>
      <c r="Y174" s="1161"/>
      <c r="Z174" s="1161"/>
      <c r="AA174" s="1633"/>
      <c r="AB174" s="567"/>
      <c r="AC174" s="567"/>
      <c r="AD174" s="567"/>
      <c r="AE174" s="567"/>
      <c r="AF174" s="1642">
        <v>11</v>
      </c>
    </row>
    <row s="1642" customFormat="1" customHeight="1" ht="11.549999999999999">
      <c r="A175" s="988"/>
      <c r="B175" s="1637"/>
      <c r="C175" s="1637"/>
      <c r="D175" s="352"/>
      <c r="K175" s="1161"/>
      <c r="L175" s="1637"/>
      <c r="M175" s="1637"/>
      <c r="N175" s="1161"/>
      <c r="O175" s="1161"/>
      <c r="P175" s="1161"/>
      <c r="Q175" s="1161"/>
      <c r="R175" s="1637"/>
      <c r="S175" s="1161"/>
      <c r="T175" s="1161"/>
      <c r="U175" s="545"/>
      <c r="V175" s="1161"/>
      <c r="W175" s="1161"/>
      <c r="X175" s="1161"/>
      <c r="Y175" s="1161"/>
      <c r="Z175" s="1161"/>
      <c r="AA175" s="1633"/>
      <c r="AB175" s="567"/>
      <c r="AC175" s="567"/>
      <c r="AD175" s="567"/>
      <c r="AE175" s="567"/>
      <c r="AF175" s="1642">
        <v>11</v>
      </c>
    </row>
    <row s="1642" customFormat="1" customHeight="1" ht="11.549999999999999">
      <c r="A176" s="988"/>
      <c r="B176" s="1637"/>
      <c r="C176" s="1637"/>
      <c r="D176" s="352"/>
      <c r="K176" s="1161"/>
      <c r="L176" s="1637"/>
      <c r="M176" s="1637"/>
      <c r="N176" s="1161"/>
      <c r="O176" s="1161"/>
      <c r="P176" s="1161"/>
      <c r="Q176" s="1161"/>
      <c r="R176" s="1637"/>
      <c r="S176" s="1161"/>
      <c r="T176" s="1161"/>
      <c r="U176" s="545"/>
      <c r="V176" s="1161"/>
      <c r="W176" s="1161"/>
      <c r="X176" s="1161"/>
      <c r="Y176" s="1161"/>
      <c r="Z176" s="1161"/>
      <c r="AA176" s="1633"/>
      <c r="AB176" s="567"/>
      <c r="AC176" s="567"/>
      <c r="AD176" s="567"/>
      <c r="AE176" s="567"/>
      <c r="AF176" s="1642">
        <v>11</v>
      </c>
    </row>
    <row s="1642" customFormat="1" customHeight="1" ht="11.549999999999999">
      <c r="A177" s="988"/>
      <c r="B177" s="1637"/>
      <c r="C177" s="1637"/>
      <c r="D177" s="352"/>
      <c r="K177" s="1161"/>
      <c r="L177" s="1637"/>
      <c r="M177" s="1637"/>
      <c r="N177" s="1161"/>
      <c r="O177" s="1161"/>
      <c r="P177" s="1161"/>
      <c r="Q177" s="1161"/>
      <c r="R177" s="1637"/>
      <c r="S177" s="1161"/>
      <c r="T177" s="1161"/>
      <c r="U177" s="545"/>
      <c r="V177" s="1161"/>
      <c r="W177" s="1161"/>
      <c r="X177" s="1161"/>
      <c r="Y177" s="1161"/>
      <c r="Z177" s="1161"/>
      <c r="AA177" s="1633"/>
      <c r="AB177" s="567"/>
      <c r="AC177" s="567"/>
      <c r="AD177" s="567"/>
      <c r="AE177" s="567"/>
      <c r="AF177" s="1642">
        <v>11</v>
      </c>
    </row>
    <row s="1642" customFormat="1" customHeight="1" ht="11.549999999999999">
      <c r="A178" s="988"/>
      <c r="B178" s="1637"/>
      <c r="C178" s="1637"/>
      <c r="D178" s="352"/>
      <c r="K178" s="1161"/>
      <c r="L178" s="1637"/>
      <c r="M178" s="1637"/>
      <c r="N178" s="1161"/>
      <c r="O178" s="1161"/>
      <c r="P178" s="1161"/>
      <c r="Q178" s="1161"/>
      <c r="R178" s="1637"/>
      <c r="S178" s="1161"/>
      <c r="T178" s="1161"/>
      <c r="U178" s="545"/>
      <c r="V178" s="1161"/>
      <c r="W178" s="1161"/>
      <c r="X178" s="1161"/>
      <c r="Y178" s="1161"/>
      <c r="Z178" s="1161"/>
      <c r="AA178" s="1633"/>
      <c r="AB178" s="567"/>
      <c r="AC178" s="567"/>
      <c r="AD178" s="567"/>
      <c r="AE178" s="567"/>
      <c r="AF178" s="1642">
        <v>11</v>
      </c>
    </row>
    <row s="1642" customFormat="1" customHeight="1" ht="11.549999999999999">
      <c r="A179" s="988"/>
      <c r="B179" s="1637"/>
      <c r="C179" s="1637"/>
      <c r="D179" s="352"/>
      <c r="K179" s="1161"/>
      <c r="L179" s="1637"/>
      <c r="M179" s="1637"/>
      <c r="N179" s="1161"/>
      <c r="O179" s="1161"/>
      <c r="P179" s="1161"/>
      <c r="Q179" s="1161"/>
      <c r="R179" s="1637"/>
      <c r="S179" s="1161"/>
      <c r="T179" s="1161"/>
      <c r="U179" s="545"/>
      <c r="V179" s="1161"/>
      <c r="W179" s="1161"/>
      <c r="X179" s="1161"/>
      <c r="Y179" s="1161"/>
      <c r="Z179" s="1161"/>
      <c r="AA179" s="1633"/>
      <c r="AB179" s="567"/>
      <c r="AC179" s="567"/>
      <c r="AD179" s="567"/>
      <c r="AE179" s="567"/>
      <c r="AF179" s="1642">
        <v>11</v>
      </c>
    </row>
    <row s="1642" customFormat="1" customHeight="1" ht="11.549999999999999">
      <c r="A180" s="988"/>
      <c r="B180" s="1637"/>
      <c r="C180" s="1637"/>
      <c r="D180" s="352"/>
      <c r="K180" s="1161"/>
      <c r="L180" s="1637"/>
      <c r="M180" s="1637"/>
      <c r="N180" s="1161"/>
      <c r="O180" s="1161"/>
      <c r="P180" s="1161"/>
      <c r="Q180" s="1161"/>
      <c r="R180" s="1637"/>
      <c r="S180" s="1161"/>
      <c r="T180" s="1161"/>
      <c r="U180" s="545"/>
      <c r="V180" s="1161"/>
      <c r="W180" s="1161"/>
      <c r="X180" s="1161"/>
      <c r="Y180" s="1161"/>
      <c r="Z180" s="1161"/>
      <c r="AA180" s="1633"/>
      <c r="AB180" s="567"/>
      <c r="AC180" s="567"/>
      <c r="AD180" s="567"/>
      <c r="AE180" s="567"/>
      <c r="AF180" s="1642">
        <v>11</v>
      </c>
    </row>
    <row s="1642" customFormat="1" customHeight="1" ht="11.549999999999999">
      <c r="A181" s="988"/>
      <c r="B181" s="1637"/>
      <c r="C181" s="1637"/>
      <c r="D181" s="352"/>
      <c r="K181" s="1161"/>
      <c r="L181" s="1637"/>
      <c r="M181" s="1637"/>
      <c r="N181" s="1161"/>
      <c r="O181" s="1161"/>
      <c r="P181" s="1161"/>
      <c r="Q181" s="1161"/>
      <c r="R181" s="1637"/>
      <c r="S181" s="1161"/>
      <c r="T181" s="1161"/>
      <c r="U181" s="545"/>
      <c r="V181" s="1161"/>
      <c r="W181" s="1161"/>
      <c r="X181" s="1161"/>
      <c r="Y181" s="1161"/>
      <c r="Z181" s="1161"/>
      <c r="AA181" s="1633"/>
      <c r="AB181" s="567"/>
      <c r="AC181" s="567"/>
      <c r="AD181" s="567"/>
      <c r="AE181" s="567"/>
      <c r="AF181" s="1642">
        <v>11</v>
      </c>
    </row>
    <row s="1642" customFormat="1" customHeight="1" ht="11.549999999999999">
      <c r="A182" s="988"/>
      <c r="B182" s="1637"/>
      <c r="C182" s="1637"/>
      <c r="D182" s="352"/>
      <c r="K182" s="1161"/>
      <c r="L182" s="1637"/>
      <c r="M182" s="1637"/>
      <c r="N182" s="1161"/>
      <c r="O182" s="1161"/>
      <c r="P182" s="1161"/>
      <c r="Q182" s="1161"/>
      <c r="R182" s="1637"/>
      <c r="S182" s="1161"/>
      <c r="T182" s="1161"/>
      <c r="U182" s="545"/>
      <c r="V182" s="1161"/>
      <c r="W182" s="1161"/>
      <c r="X182" s="1161"/>
      <c r="Y182" s="1161"/>
      <c r="Z182" s="1161"/>
      <c r="AA182" s="1633"/>
      <c r="AB182" s="567"/>
      <c r="AC182" s="567"/>
      <c r="AD182" s="567"/>
      <c r="AE182" s="567"/>
      <c r="AF182" s="1642">
        <v>11</v>
      </c>
    </row>
    <row s="1642" customFormat="1" customHeight="1" ht="11.549999999999999">
      <c r="A183" s="988"/>
      <c r="B183" s="1637"/>
      <c r="C183" s="1637"/>
      <c r="D183" s="352"/>
      <c r="K183" s="1161"/>
      <c r="L183" s="1637"/>
      <c r="M183" s="1637"/>
      <c r="N183" s="1161"/>
      <c r="O183" s="1161"/>
      <c r="P183" s="1161"/>
      <c r="Q183" s="1161"/>
      <c r="R183" s="1637"/>
      <c r="S183" s="1161"/>
      <c r="T183" s="1161"/>
      <c r="U183" s="545"/>
      <c r="V183" s="1161"/>
      <c r="W183" s="1161"/>
      <c r="X183" s="1161"/>
      <c r="Y183" s="1161"/>
      <c r="Z183" s="1161"/>
      <c r="AA183" s="1633"/>
      <c r="AB183" s="567"/>
      <c r="AC183" s="567"/>
      <c r="AD183" s="567"/>
      <c r="AE183" s="567"/>
      <c r="AF183" s="1642">
        <v>11</v>
      </c>
    </row>
    <row s="1642" customFormat="1" customHeight="1" ht="11.549999999999999">
      <c r="A184" s="988"/>
      <c r="B184" s="1637"/>
      <c r="C184" s="1637"/>
      <c r="D184" s="352"/>
      <c r="K184" s="1161"/>
      <c r="L184" s="1637"/>
      <c r="M184" s="1637"/>
      <c r="N184" s="1161"/>
      <c r="O184" s="1161"/>
      <c r="P184" s="1161"/>
      <c r="Q184" s="1161"/>
      <c r="R184" s="1637"/>
      <c r="S184" s="1161"/>
      <c r="T184" s="1161"/>
      <c r="U184" s="545"/>
      <c r="V184" s="1161"/>
      <c r="W184" s="1161"/>
      <c r="X184" s="1161"/>
      <c r="Y184" s="1161"/>
      <c r="Z184" s="1161"/>
      <c r="AA184" s="1633"/>
      <c r="AB184" s="567"/>
      <c r="AC184" s="567"/>
      <c r="AD184" s="567"/>
      <c r="AE184" s="567"/>
      <c r="AF184" s="1642">
        <v>11</v>
      </c>
    </row>
    <row s="1642" customFormat="1" customHeight="1" ht="11.549999999999999">
      <c r="A185" s="988"/>
      <c r="B185" s="1637"/>
      <c r="C185" s="1637"/>
      <c r="D185" s="352"/>
      <c r="K185" s="1161"/>
      <c r="L185" s="1637"/>
      <c r="M185" s="1637"/>
      <c r="N185" s="1161"/>
      <c r="O185" s="1161"/>
      <c r="P185" s="1161"/>
      <c r="Q185" s="1161"/>
      <c r="R185" s="1637"/>
      <c r="S185" s="1161"/>
      <c r="T185" s="1161"/>
      <c r="U185" s="545"/>
      <c r="V185" s="1161"/>
      <c r="W185" s="1161"/>
      <c r="X185" s="1161"/>
      <c r="Y185" s="1161"/>
      <c r="Z185" s="1161"/>
      <c r="AA185" s="1633"/>
      <c r="AB185" s="567"/>
      <c r="AC185" s="567"/>
      <c r="AD185" s="567"/>
      <c r="AE185" s="567"/>
      <c r="AF185" s="1642">
        <v>11</v>
      </c>
    </row>
    <row s="1642" customFormat="1" customHeight="1" ht="11.549999999999999">
      <c r="A186" s="988"/>
      <c r="B186" s="1637"/>
      <c r="C186" s="1637"/>
      <c r="D186" s="352"/>
      <c r="K186" s="1161"/>
      <c r="L186" s="1637"/>
      <c r="M186" s="1637"/>
      <c r="N186" s="1161"/>
      <c r="O186" s="1161"/>
      <c r="P186" s="1161"/>
      <c r="Q186" s="1161"/>
      <c r="R186" s="1637"/>
      <c r="S186" s="1161"/>
      <c r="T186" s="1161"/>
      <c r="U186" s="545"/>
      <c r="V186" s="1161"/>
      <c r="W186" s="1161"/>
      <c r="X186" s="1161"/>
      <c r="Y186" s="1161"/>
      <c r="Z186" s="1161"/>
      <c r="AA186" s="1633"/>
      <c r="AB186" s="567"/>
      <c r="AC186" s="567"/>
      <c r="AD186" s="567"/>
      <c r="AE186" s="567"/>
      <c r="AF186" s="1642">
        <v>11</v>
      </c>
    </row>
    <row s="1642" customFormat="1" customHeight="1" ht="11.549999999999999">
      <c r="A187" s="988"/>
      <c r="B187" s="1637"/>
      <c r="C187" s="1637"/>
      <c r="D187" s="352"/>
      <c r="K187" s="1161"/>
      <c r="L187" s="1637"/>
      <c r="M187" s="1637"/>
      <c r="N187" s="1161"/>
      <c r="O187" s="1161"/>
      <c r="P187" s="1161"/>
      <c r="Q187" s="1161"/>
      <c r="R187" s="1637"/>
      <c r="S187" s="1161"/>
      <c r="T187" s="1161"/>
      <c r="U187" s="545"/>
      <c r="V187" s="1161"/>
      <c r="W187" s="1161"/>
      <c r="X187" s="1161"/>
      <c r="Y187" s="1161"/>
      <c r="Z187" s="1161"/>
      <c r="AA187" s="1633"/>
      <c r="AB187" s="567"/>
      <c r="AC187" s="567"/>
      <c r="AD187" s="567"/>
      <c r="AE187" s="567"/>
      <c r="AF187" s="1642">
        <v>11</v>
      </c>
    </row>
    <row s="1642" customFormat="1" customHeight="1" ht="11.549999999999999">
      <c r="A188" s="988"/>
      <c r="B188" s="1637"/>
      <c r="C188" s="1637"/>
      <c r="D188" s="352"/>
      <c r="K188" s="1161"/>
      <c r="L188" s="1637"/>
      <c r="M188" s="1637"/>
      <c r="N188" s="1161"/>
      <c r="O188" s="1161"/>
      <c r="P188" s="1161"/>
      <c r="Q188" s="1161"/>
      <c r="R188" s="1637"/>
      <c r="S188" s="1161"/>
      <c r="T188" s="1161"/>
      <c r="U188" s="545"/>
      <c r="V188" s="1161"/>
      <c r="W188" s="1161"/>
      <c r="X188" s="1161"/>
      <c r="Y188" s="1161"/>
      <c r="Z188" s="1161"/>
      <c r="AA188" s="1633"/>
      <c r="AB188" s="567"/>
      <c r="AC188" s="567"/>
      <c r="AD188" s="567"/>
      <c r="AE188" s="567"/>
      <c r="AF188" s="1642">
        <v>11</v>
      </c>
    </row>
    <row s="1642" customFormat="1" customHeight="1" ht="11.549999999999999">
      <c r="A189" s="988"/>
      <c r="B189" s="1637"/>
      <c r="C189" s="1637"/>
      <c r="D189" s="352"/>
      <c r="K189" s="1161"/>
      <c r="L189" s="1637"/>
      <c r="M189" s="1637"/>
      <c r="N189" s="1161"/>
      <c r="O189" s="1161"/>
      <c r="P189" s="1161"/>
      <c r="Q189" s="1161"/>
      <c r="R189" s="1637"/>
      <c r="S189" s="1161"/>
      <c r="T189" s="1161"/>
      <c r="U189" s="545"/>
      <c r="V189" s="1161"/>
      <c r="W189" s="1161"/>
      <c r="X189" s="1161"/>
      <c r="Y189" s="1161"/>
      <c r="Z189" s="1161"/>
      <c r="AA189" s="1633"/>
      <c r="AB189" s="567"/>
      <c r="AC189" s="567"/>
      <c r="AD189" s="567"/>
      <c r="AE189" s="567"/>
      <c r="AF189" s="1642">
        <v>11</v>
      </c>
    </row>
    <row s="1642" customFormat="1" customHeight="1" ht="11.549999999999999">
      <c r="A190" s="988"/>
      <c r="B190" s="1637"/>
      <c r="C190" s="1637"/>
      <c r="D190" s="352"/>
      <c r="K190" s="1161"/>
      <c r="L190" s="1637"/>
      <c r="M190" s="1637"/>
      <c r="N190" s="1161"/>
      <c r="O190" s="1161"/>
      <c r="P190" s="1161"/>
      <c r="Q190" s="1161"/>
      <c r="R190" s="1637"/>
      <c r="S190" s="1161"/>
      <c r="T190" s="1161"/>
      <c r="U190" s="545"/>
      <c r="V190" s="1161"/>
      <c r="W190" s="1161"/>
      <c r="X190" s="1161"/>
      <c r="Y190" s="1161"/>
      <c r="Z190" s="1161"/>
      <c r="AA190" s="1633"/>
      <c r="AB190" s="567"/>
      <c r="AC190" s="567"/>
      <c r="AD190" s="567"/>
      <c r="AE190" s="567"/>
      <c r="AF190" s="1642">
        <v>11</v>
      </c>
    </row>
    <row s="1642" customFormat="1" customHeight="1" ht="11.549999999999999">
      <c r="A191" s="988"/>
      <c r="B191" s="1637"/>
      <c r="C191" s="1637"/>
      <c r="D191" s="352"/>
      <c r="K191" s="1161"/>
      <c r="L191" s="1637"/>
      <c r="M191" s="1637"/>
      <c r="N191" s="1161"/>
      <c r="O191" s="1161"/>
      <c r="P191" s="1161"/>
      <c r="Q191" s="1161"/>
      <c r="R191" s="1637"/>
      <c r="S191" s="1161"/>
      <c r="T191" s="1161"/>
      <c r="U191" s="545"/>
      <c r="V191" s="1161"/>
      <c r="W191" s="1161"/>
      <c r="X191" s="1161"/>
      <c r="Y191" s="1161"/>
      <c r="Z191" s="1161"/>
      <c r="AA191" s="1633"/>
      <c r="AB191" s="567"/>
      <c r="AC191" s="567"/>
      <c r="AD191" s="567"/>
      <c r="AE191" s="567"/>
      <c r="AF191" s="1642">
        <v>11</v>
      </c>
    </row>
    <row s="1642" customFormat="1" customHeight="1" ht="11.549999999999999">
      <c r="A192" s="988"/>
      <c r="B192" s="1637"/>
      <c r="C192" s="1637"/>
      <c r="D192" s="352"/>
      <c r="K192" s="1161"/>
      <c r="L192" s="1637"/>
      <c r="M192" s="1637"/>
      <c r="N192" s="1161"/>
      <c r="O192" s="1161"/>
      <c r="P192" s="1161"/>
      <c r="Q192" s="1161"/>
      <c r="R192" s="1637"/>
      <c r="S192" s="1161"/>
      <c r="T192" s="1161"/>
      <c r="U192" s="545"/>
      <c r="V192" s="1161"/>
      <c r="W192" s="1161"/>
      <c r="X192" s="1161"/>
      <c r="Y192" s="1161"/>
      <c r="Z192" s="1161"/>
      <c r="AA192" s="1633"/>
      <c r="AB192" s="567"/>
      <c r="AC192" s="567"/>
      <c r="AD192" s="567"/>
      <c r="AE192" s="567"/>
      <c r="AF192" s="1642">
        <v>11</v>
      </c>
    </row>
    <row s="1642" customFormat="1" customHeight="1" ht="11.549999999999999">
      <c r="A193" s="988"/>
      <c r="B193" s="1637"/>
      <c r="C193" s="1637"/>
      <c r="D193" s="352"/>
      <c r="K193" s="1161"/>
      <c r="L193" s="1637"/>
      <c r="M193" s="1637"/>
      <c r="N193" s="1161"/>
      <c r="O193" s="1161"/>
      <c r="P193" s="1161"/>
      <c r="Q193" s="1161"/>
      <c r="R193" s="1637"/>
      <c r="S193" s="1161"/>
      <c r="T193" s="1161"/>
      <c r="U193" s="545"/>
      <c r="V193" s="1161"/>
      <c r="W193" s="1161"/>
      <c r="X193" s="1161"/>
      <c r="Y193" s="1161"/>
      <c r="Z193" s="1161"/>
      <c r="AA193" s="1633"/>
      <c r="AB193" s="567"/>
      <c r="AC193" s="567"/>
      <c r="AD193" s="567"/>
      <c r="AE193" s="567"/>
      <c r="AF193" s="1642">
        <v>11</v>
      </c>
    </row>
    <row s="1642" customFormat="1" customHeight="1" ht="11.549999999999999">
      <c r="A194" s="988"/>
      <c r="B194" s="1637"/>
      <c r="C194" s="1637"/>
      <c r="D194" s="352"/>
      <c r="K194" s="1161"/>
      <c r="L194" s="1637"/>
      <c r="M194" s="1637"/>
      <c r="N194" s="1161"/>
      <c r="O194" s="1161"/>
      <c r="P194" s="1161"/>
      <c r="Q194" s="1161"/>
      <c r="R194" s="1637"/>
      <c r="S194" s="1161"/>
      <c r="T194" s="1161"/>
      <c r="U194" s="545"/>
      <c r="V194" s="1161"/>
      <c r="W194" s="1161"/>
      <c r="X194" s="1161"/>
      <c r="Y194" s="1161"/>
      <c r="Z194" s="1161"/>
      <c r="AA194" s="1633"/>
      <c r="AB194" s="567"/>
      <c r="AC194" s="567"/>
      <c r="AD194" s="567"/>
      <c r="AE194" s="567"/>
      <c r="AF194" s="1642">
        <v>11</v>
      </c>
    </row>
    <row s="1642" customFormat="1" customHeight="1" ht="11.549999999999999">
      <c r="A195" s="988"/>
      <c r="B195" s="1637"/>
      <c r="C195" s="1637"/>
      <c r="D195" s="352"/>
      <c r="K195" s="1161"/>
      <c r="L195" s="1637"/>
      <c r="M195" s="1637"/>
      <c r="N195" s="1161"/>
      <c r="O195" s="1161"/>
      <c r="P195" s="1161"/>
      <c r="Q195" s="1161"/>
      <c r="R195" s="1637"/>
      <c r="S195" s="1161"/>
      <c r="T195" s="1161"/>
      <c r="U195" s="545"/>
      <c r="V195" s="1161"/>
      <c r="W195" s="1161"/>
      <c r="X195" s="1161"/>
      <c r="Y195" s="1161"/>
      <c r="Z195" s="1161"/>
      <c r="AA195" s="1633"/>
      <c r="AB195" s="567"/>
      <c r="AC195" s="567"/>
      <c r="AD195" s="567"/>
      <c r="AE195" s="567"/>
      <c r="AF195" s="1642">
        <v>11</v>
      </c>
    </row>
    <row s="1642" customFormat="1" customHeight="1" ht="11.549999999999999">
      <c r="A196" s="988"/>
      <c r="B196" s="1637"/>
      <c r="C196" s="1637"/>
      <c r="D196" s="352"/>
      <c r="K196" s="1161"/>
      <c r="L196" s="1637"/>
      <c r="M196" s="1637"/>
      <c r="N196" s="1161"/>
      <c r="O196" s="1161"/>
      <c r="P196" s="1161"/>
      <c r="Q196" s="1161"/>
      <c r="R196" s="1637"/>
      <c r="S196" s="1161"/>
      <c r="T196" s="1161"/>
      <c r="U196" s="545"/>
      <c r="V196" s="1161"/>
      <c r="W196" s="1161"/>
      <c r="X196" s="1161"/>
      <c r="Y196" s="1161"/>
      <c r="Z196" s="1161"/>
      <c r="AA196" s="1633"/>
      <c r="AB196" s="567"/>
      <c r="AC196" s="567"/>
      <c r="AD196" s="567"/>
      <c r="AE196" s="567"/>
      <c r="AF196" s="1642">
        <v>11</v>
      </c>
    </row>
    <row s="1642" customFormat="1" customHeight="1" ht="11.549999999999999">
      <c r="A197" s="988"/>
      <c r="B197" s="1637"/>
      <c r="C197" s="1637"/>
      <c r="D197" s="352"/>
      <c r="K197" s="1161"/>
      <c r="L197" s="1637"/>
      <c r="M197" s="1637"/>
      <c r="N197" s="1161"/>
      <c r="O197" s="1161"/>
      <c r="P197" s="1161"/>
      <c r="Q197" s="1161"/>
      <c r="R197" s="1637"/>
      <c r="S197" s="1161"/>
      <c r="T197" s="1161"/>
      <c r="U197" s="545"/>
      <c r="V197" s="1161"/>
      <c r="W197" s="1161"/>
      <c r="X197" s="1161"/>
      <c r="Y197" s="1161"/>
      <c r="Z197" s="1161"/>
      <c r="AA197" s="1633"/>
      <c r="AB197" s="567"/>
      <c r="AC197" s="567"/>
      <c r="AD197" s="567"/>
      <c r="AE197" s="567"/>
      <c r="AF197" s="1642">
        <v>11</v>
      </c>
    </row>
    <row s="1642" customFormat="1" customHeight="1" ht="11.549999999999999">
      <c r="A198" s="988"/>
      <c r="B198" s="1637"/>
      <c r="C198" s="1637"/>
      <c r="D198" s="352"/>
      <c r="K198" s="1161"/>
      <c r="L198" s="1637"/>
      <c r="M198" s="1637"/>
      <c r="N198" s="1161"/>
      <c r="O198" s="1161"/>
      <c r="P198" s="1161"/>
      <c r="Q198" s="1161"/>
      <c r="R198" s="1637"/>
      <c r="S198" s="1161"/>
      <c r="T198" s="1161"/>
      <c r="U198" s="545"/>
      <c r="V198" s="1161"/>
      <c r="W198" s="1161"/>
      <c r="X198" s="1161"/>
      <c r="Y198" s="1161"/>
      <c r="Z198" s="1161"/>
      <c r="AA198" s="1633"/>
      <c r="AB198" s="567"/>
      <c r="AC198" s="567"/>
      <c r="AD198" s="567"/>
      <c r="AE198" s="567"/>
      <c r="AF198" s="1642">
        <v>11</v>
      </c>
    </row>
    <row s="1642" customFormat="1" customHeight="1" ht="11.549999999999999">
      <c r="A199" s="988"/>
      <c r="B199" s="1637"/>
      <c r="C199" s="1637"/>
      <c r="D199" s="352"/>
      <c r="K199" s="1161"/>
      <c r="L199" s="1637"/>
      <c r="M199" s="1637"/>
      <c r="N199" s="1161"/>
      <c r="O199" s="1161"/>
      <c r="P199" s="1161"/>
      <c r="Q199" s="1161"/>
      <c r="R199" s="1637"/>
      <c r="S199" s="1161"/>
      <c r="T199" s="1161"/>
      <c r="U199" s="545"/>
      <c r="V199" s="1161"/>
      <c r="W199" s="1161"/>
      <c r="X199" s="1161"/>
      <c r="Y199" s="1161"/>
      <c r="Z199" s="1161"/>
      <c r="AA199" s="1633"/>
      <c r="AB199" s="567"/>
      <c r="AC199" s="567"/>
      <c r="AD199" s="567"/>
      <c r="AE199" s="567"/>
      <c r="AF199" s="1642">
        <v>11</v>
      </c>
    </row>
    <row s="1642" customFormat="1" customHeight="1" ht="11.549999999999999">
      <c r="A200" s="988"/>
      <c r="B200" s="1637"/>
      <c r="C200" s="1637"/>
      <c r="D200" s="352"/>
      <c r="K200" s="1161"/>
      <c r="L200" s="1637"/>
      <c r="M200" s="1637"/>
      <c r="N200" s="1161"/>
      <c r="O200" s="1161"/>
      <c r="P200" s="1161"/>
      <c r="Q200" s="1161"/>
      <c r="R200" s="1637"/>
      <c r="S200" s="1161"/>
      <c r="T200" s="1161"/>
      <c r="U200" s="545"/>
      <c r="V200" s="1161"/>
      <c r="W200" s="1161"/>
      <c r="X200" s="1161"/>
      <c r="Y200" s="1161"/>
      <c r="Z200" s="1161"/>
      <c r="AA200" s="1633"/>
      <c r="AB200" s="567"/>
      <c r="AC200" s="567"/>
      <c r="AD200" s="567"/>
      <c r="AE200" s="567"/>
      <c r="AF200" s="1642">
        <v>11</v>
      </c>
    </row>
    <row s="1642" customFormat="1" customHeight="1" ht="11.549999999999999">
      <c r="A201" s="988"/>
      <c r="B201" s="1637"/>
      <c r="C201" s="1637"/>
      <c r="D201" s="352"/>
      <c r="K201" s="1161"/>
      <c r="L201" s="1637"/>
      <c r="M201" s="1637"/>
      <c r="N201" s="1161"/>
      <c r="O201" s="1161"/>
      <c r="P201" s="1161"/>
      <c r="Q201" s="1161"/>
      <c r="R201" s="1637"/>
      <c r="S201" s="1161"/>
      <c r="T201" s="1161"/>
      <c r="U201" s="545"/>
      <c r="V201" s="1161"/>
      <c r="W201" s="1161"/>
      <c r="X201" s="1161"/>
      <c r="Y201" s="1161"/>
      <c r="Z201" s="1161"/>
      <c r="AA201" s="1633"/>
      <c r="AB201" s="567"/>
      <c r="AC201" s="567"/>
      <c r="AD201" s="567"/>
      <c r="AE201" s="567"/>
      <c r="AF201" s="1642">
        <v>11</v>
      </c>
    </row>
    <row s="1642" customFormat="1" customHeight="1" ht="11.549999999999999">
      <c r="A202" s="988"/>
      <c r="B202" s="1637"/>
      <c r="C202" s="1637"/>
      <c r="D202" s="352"/>
      <c r="K202" s="1161"/>
      <c r="L202" s="1637"/>
      <c r="M202" s="1637"/>
      <c r="N202" s="1161"/>
      <c r="O202" s="1161"/>
      <c r="P202" s="1161"/>
      <c r="Q202" s="1161"/>
      <c r="R202" s="1637"/>
      <c r="S202" s="1161"/>
      <c r="T202" s="1161"/>
      <c r="U202" s="545"/>
      <c r="V202" s="1161"/>
      <c r="W202" s="1161"/>
      <c r="X202" s="1161"/>
      <c r="Y202" s="1161"/>
      <c r="Z202" s="1161"/>
      <c r="AA202" s="1633"/>
      <c r="AB202" s="567"/>
      <c r="AC202" s="567"/>
      <c r="AD202" s="567"/>
      <c r="AE202" s="567"/>
      <c r="AF202" s="1642">
        <v>11</v>
      </c>
    </row>
    <row customHeight="1" ht="11.549999999999999">
      <c r="AF203" s="1632">
        <v>11</v>
      </c>
    </row>
    <row customHeight="1" ht="11.549999999999999">
      <c r="AF204" s="1632">
        <v>11</v>
      </c>
    </row>
    <row customHeight="1" ht="11.549999999999999">
      <c r="AF205" s="1632">
        <v>11</v>
      </c>
    </row>
    <row customHeight="1" ht="11.549999999999999">
      <c r="A206" s="991"/>
      <c r="B206" s="1632"/>
      <c r="D206" s="1632"/>
      <c r="K206" s="1632"/>
      <c r="N206" s="1632"/>
      <c r="O206" s="1632"/>
      <c r="P206" s="1632"/>
      <c r="Q206" s="1632"/>
      <c r="S206" s="1632"/>
      <c r="T206" s="1632"/>
      <c r="U206" s="1632"/>
      <c r="V206" s="1632"/>
      <c r="W206" s="1632"/>
      <c r="X206" s="1632"/>
      <c r="Y206" s="1632"/>
      <c r="Z206" s="1632"/>
      <c r="AA206" s="1632"/>
      <c r="AB206" s="1632"/>
      <c r="AC206" s="1632"/>
      <c r="AD206" s="1632"/>
      <c r="AE206" s="1632"/>
      <c r="AF206" s="1632">
        <v>11</v>
      </c>
    </row>
    <row customHeight="1" ht="11.549999999999999">
      <c r="A207" s="991"/>
      <c r="B207" s="1632"/>
      <c r="D207" s="1632"/>
      <c r="K207" s="1632"/>
      <c r="N207" s="1632"/>
      <c r="O207" s="1632"/>
      <c r="P207" s="1632"/>
      <c r="Q207" s="1632"/>
      <c r="S207" s="1632"/>
      <c r="T207" s="1632"/>
      <c r="U207" s="1632"/>
      <c r="V207" s="1632"/>
      <c r="W207" s="1632"/>
      <c r="X207" s="1632"/>
      <c r="Y207" s="1632"/>
      <c r="Z207" s="1632"/>
      <c r="AA207" s="1632"/>
      <c r="AB207" s="1632"/>
      <c r="AC207" s="1632"/>
      <c r="AD207" s="1632"/>
      <c r="AE207" s="1632"/>
      <c r="AF207" s="1632">
        <v>11</v>
      </c>
    </row>
    <row customHeight="1" ht="11.549999999999999">
      <c r="A208" s="991"/>
      <c r="B208" s="1632"/>
      <c r="D208" s="1632"/>
      <c r="K208" s="1632"/>
      <c r="N208" s="1632"/>
      <c r="O208" s="1632"/>
      <c r="P208" s="1632"/>
      <c r="Q208" s="1632"/>
      <c r="S208" s="1632"/>
      <c r="T208" s="1632"/>
      <c r="U208" s="1632"/>
      <c r="V208" s="1632"/>
      <c r="W208" s="1632"/>
      <c r="X208" s="1632"/>
      <c r="Y208" s="1632"/>
      <c r="Z208" s="1632"/>
      <c r="AA208" s="1632"/>
      <c r="AB208" s="1632"/>
      <c r="AC208" s="1632"/>
      <c r="AD208" s="1632"/>
      <c r="AE208" s="1632"/>
      <c r="AF208" s="1632">
        <v>11</v>
      </c>
    </row>
    <row customHeight="1" ht="11.549999999999999">
      <c r="A209" s="991"/>
      <c r="B209" s="1632"/>
      <c r="D209" s="1632"/>
      <c r="K209" s="1632"/>
      <c r="N209" s="1632"/>
      <c r="O209" s="1632"/>
      <c r="P209" s="1632"/>
      <c r="Q209" s="1632"/>
      <c r="S209" s="1632"/>
      <c r="T209" s="1632"/>
      <c r="U209" s="1632"/>
      <c r="V209" s="1632"/>
      <c r="W209" s="1632"/>
      <c r="X209" s="1632"/>
      <c r="Y209" s="1632"/>
      <c r="Z209" s="1632"/>
      <c r="AA209" s="1632"/>
      <c r="AB209" s="1632"/>
      <c r="AC209" s="1632"/>
      <c r="AD209" s="1632"/>
      <c r="AE209" s="1632"/>
      <c r="AF209" s="1632">
        <v>11</v>
      </c>
    </row>
    <row customHeight="1" ht="11.549999999999999">
      <c r="A210" s="991"/>
      <c r="B210" s="1632"/>
      <c r="D210" s="1632"/>
      <c r="K210" s="1632"/>
      <c r="N210" s="1632"/>
      <c r="O210" s="1632"/>
      <c r="P210" s="1632"/>
      <c r="Q210" s="1632"/>
      <c r="S210" s="1632"/>
      <c r="T210" s="1632"/>
      <c r="U210" s="1632"/>
      <c r="V210" s="1632"/>
      <c r="W210" s="1632"/>
      <c r="X210" s="1632"/>
      <c r="Y210" s="1632"/>
      <c r="Z210" s="1632"/>
      <c r="AA210" s="1632"/>
      <c r="AB210" s="1632"/>
      <c r="AC210" s="1632"/>
      <c r="AD210" s="1632"/>
      <c r="AE210" s="1632"/>
      <c r="AF210" s="1632">
        <v>11</v>
      </c>
    </row>
    <row customHeight="1" ht="11.549999999999999">
      <c r="A211" s="991"/>
      <c r="B211" s="1632"/>
      <c r="D211" s="1632"/>
      <c r="K211" s="1632"/>
      <c r="N211" s="1632"/>
      <c r="O211" s="1632"/>
      <c r="P211" s="1632"/>
      <c r="Q211" s="1632"/>
      <c r="S211" s="1632"/>
      <c r="T211" s="1632"/>
      <c r="U211" s="1632"/>
      <c r="V211" s="1632"/>
      <c r="W211" s="1632"/>
      <c r="X211" s="1632"/>
      <c r="Y211" s="1632"/>
      <c r="Z211" s="1632"/>
      <c r="AA211" s="1632"/>
      <c r="AB211" s="1632"/>
      <c r="AC211" s="1632"/>
      <c r="AD211" s="1632"/>
      <c r="AE211" s="1632"/>
      <c r="AF211" s="1632">
        <v>11</v>
      </c>
    </row>
    <row customHeight="1" ht="11.549999999999999">
      <c r="A212" s="991"/>
      <c r="B212" s="1632"/>
      <c r="D212" s="1632"/>
      <c r="K212" s="1632"/>
      <c r="N212" s="1632"/>
      <c r="O212" s="1632"/>
      <c r="P212" s="1632"/>
      <c r="Q212" s="1632"/>
      <c r="S212" s="1632"/>
      <c r="T212" s="1632"/>
      <c r="U212" s="1632"/>
      <c r="V212" s="1632"/>
      <c r="W212" s="1632"/>
      <c r="X212" s="1632"/>
      <c r="Y212" s="1632"/>
      <c r="Z212" s="1632"/>
      <c r="AA212" s="1632"/>
      <c r="AB212" s="1632"/>
      <c r="AC212" s="1632"/>
      <c r="AD212" s="1632"/>
      <c r="AE212" s="1632"/>
      <c r="AF212" s="1632">
        <v>11</v>
      </c>
    </row>
    <row customHeight="1" ht="11.549999999999999">
      <c r="A213" s="991"/>
      <c r="B213" s="1632"/>
      <c r="D213" s="1632"/>
      <c r="K213" s="1632"/>
      <c r="N213" s="1632"/>
      <c r="O213" s="1632"/>
      <c r="P213" s="1632"/>
      <c r="Q213" s="1632"/>
      <c r="S213" s="1632"/>
      <c r="T213" s="1632"/>
      <c r="U213" s="1632"/>
      <c r="V213" s="1632"/>
      <c r="W213" s="1632"/>
      <c r="X213" s="1632"/>
      <c r="Y213" s="1632"/>
      <c r="Z213" s="1632"/>
      <c r="AA213" s="1632"/>
      <c r="AB213" s="1632"/>
      <c r="AC213" s="1632"/>
      <c r="AD213" s="1632"/>
      <c r="AE213" s="1632"/>
      <c r="AF213" s="1632">
        <v>11</v>
      </c>
    </row>
    <row customHeight="1" ht="11.549999999999999">
      <c r="A214" s="991"/>
      <c r="B214" s="1632"/>
      <c r="D214" s="1632"/>
      <c r="K214" s="1632"/>
      <c r="N214" s="1632"/>
      <c r="O214" s="1632"/>
      <c r="P214" s="1632"/>
      <c r="Q214" s="1632"/>
      <c r="S214" s="1632"/>
      <c r="T214" s="1632"/>
      <c r="U214" s="1632"/>
      <c r="V214" s="1632"/>
      <c r="W214" s="1632"/>
      <c r="X214" s="1632"/>
      <c r="Y214" s="1632"/>
      <c r="Z214" s="1632"/>
      <c r="AA214" s="1632"/>
      <c r="AB214" s="1632"/>
      <c r="AC214" s="1632"/>
      <c r="AD214" s="1632"/>
      <c r="AE214" s="1632"/>
      <c r="AF214" s="1632">
        <v>11</v>
      </c>
    </row>
    <row customHeight="1" ht="11.549999999999999">
      <c r="A215" s="991"/>
      <c r="B215" s="1632"/>
      <c r="D215" s="1632"/>
      <c r="K215" s="1632"/>
      <c r="N215" s="1632"/>
      <c r="O215" s="1632"/>
      <c r="P215" s="1632"/>
      <c r="Q215" s="1632"/>
      <c r="S215" s="1632"/>
      <c r="T215" s="1632"/>
      <c r="U215" s="1632"/>
      <c r="V215" s="1632"/>
      <c r="W215" s="1632"/>
      <c r="X215" s="1632"/>
      <c r="Y215" s="1632"/>
      <c r="Z215" s="1632"/>
      <c r="AA215" s="1632"/>
      <c r="AB215" s="1632"/>
      <c r="AC215" s="1632"/>
      <c r="AD215" s="1632"/>
      <c r="AE215" s="1632"/>
      <c r="AF215" s="1632">
        <v>11</v>
      </c>
    </row>
    <row customHeight="1" ht="11.549999999999999">
      <c r="A216" s="991"/>
      <c r="B216" s="1632"/>
      <c r="D216" s="1632"/>
      <c r="K216" s="1632"/>
      <c r="N216" s="1632"/>
      <c r="O216" s="1632"/>
      <c r="P216" s="1632"/>
      <c r="Q216" s="1632"/>
      <c r="S216" s="1632"/>
      <c r="T216" s="1632"/>
      <c r="U216" s="1632"/>
      <c r="V216" s="1632"/>
      <c r="W216" s="1632"/>
      <c r="X216" s="1632"/>
      <c r="Y216" s="1632"/>
      <c r="Z216" s="1632"/>
      <c r="AA216" s="1632"/>
      <c r="AB216" s="1632"/>
      <c r="AC216" s="1632"/>
      <c r="AD216" s="1632"/>
      <c r="AE216" s="1632"/>
      <c r="AF216" s="1632">
        <v>11</v>
      </c>
    </row>
    <row customHeight="1" ht="11.25" hidden="1">
      <c r="A217" s="988" t="s">
        <v>83</v>
      </c>
      <c r="B217" s="1161">
        <v>0</v>
      </c>
      <c r="C217" s="1637">
        <v>0</v>
      </c>
      <c r="D217" s="1636">
        <v>3</v>
      </c>
      <c r="E217" s="1632">
        <v>7</v>
      </c>
      <c r="F217" s="1632">
        <v>56</v>
      </c>
      <c r="G217" s="1632">
        <v>10</v>
      </c>
      <c r="H217" s="1632">
        <v>0</v>
      </c>
      <c r="I217" s="1632">
        <v>40</v>
      </c>
      <c r="J217" s="1632">
        <v>102</v>
      </c>
      <c r="K217" s="1161">
        <v>9</v>
      </c>
      <c r="L217" s="1637">
        <v>5</v>
      </c>
      <c r="M217" s="1637">
        <v>3</v>
      </c>
      <c r="N217" s="1161">
        <v>3</v>
      </c>
      <c r="O217" s="1161">
        <v>3</v>
      </c>
      <c r="P217" s="1161">
        <v>3</v>
      </c>
      <c r="Q217" s="1161">
        <v>3</v>
      </c>
      <c r="R217" s="1637">
        <v>10</v>
      </c>
      <c r="S217" s="1161">
        <v>34</v>
      </c>
      <c r="T217" s="1161">
        <v>9</v>
      </c>
      <c r="U217" s="545">
        <v>8</v>
      </c>
      <c r="V217" s="1161">
        <v>8</v>
      </c>
      <c r="W217" s="1161">
        <v>8</v>
      </c>
      <c r="X217" s="1161">
        <v>8</v>
      </c>
      <c r="Y217" s="1161">
        <v>8</v>
      </c>
      <c r="Z217" s="1161">
        <v>8</v>
      </c>
      <c r="AA217" s="1633">
        <v>8</v>
      </c>
      <c r="AB217" s="1633">
        <v>8</v>
      </c>
      <c r="AC217" s="1633">
        <v>8</v>
      </c>
      <c r="AD217" s="1633">
        <v>8</v>
      </c>
      <c r="AE217" s="1633">
        <v>8</v>
      </c>
      <c r="AF217" s="1632">
        <v>11</v>
      </c>
    </row>
  </sheetData>
  <sheetProtection formatColumns="0" formatRows="0" autoFilter="0" sort="0" insertRows="0" insertColumns="1" deleteRows="0" deleteColumns="0"/>
  <mergeCells count="7">
    <mergeCell ref="E6:I6"/>
    <mergeCell ref="E7:I7"/>
    <mergeCell ref="F10:G10"/>
    <mergeCell ref="J10:J14"/>
    <mergeCell ref="F11:G11"/>
    <mergeCell ref="F12:G12"/>
    <mergeCell ref="E13:G13"/>
  </mergeCells>
  <dataValidations count="5">
    <dataValidation type="textLength" operator="lessThanOrEqual" allowBlank="1" showInputMessage="1" showErrorMessage="1" errorTitle="Ошибка" error="Допускается ввод не более 900 символов!" prompt="Введите наименование прочих расходов" sqref="H33:I33">
      <formula1>900</formula1>
    </dataValidation>
    <dataValidation type="decimal" allowBlank="1" showErrorMessage="1" errorTitle="Ошибка" error="Допускается ввод только неотрицательных чисел!" sqref="H38:I39 H2:I2 H15:I15 H17:I32 H35:I35 H44:I46">
      <formula1>0</formula1>
      <formula2>9.99999999999999E+23</formula2>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H43:I43">
      <formula1>900</formula1>
    </dataValidation>
    <dataValidation type="decimal" allowBlank="1" showErrorMessage="1" errorTitle="Ошибка" error="Допускается ввод только действительных чисел!" sqref="H36:I37">
      <formula1>-9.99999999999999E+23</formula1>
      <formula2>9.99999999999999E+23</formula2>
    </dataValidation>
    <dataValidation type="decimal" allowBlank="1" showErrorMessage="1" errorTitle="Ошибка" error="Допускается ввод только действительных чисел!" sqref="H40:I42">
      <formula1>-9.99999999999999E+37</formula1>
      <formula2>9.99999999999999E+37</formula2>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FD3911A8-7B48-A6A8-BA28-DEE642D70C08}" mc:Ignorable="x14ac xr xr2 xr3">
  <sheetPr>
    <tabColor theme="9" tint="-0.25"/>
  </sheetPr>
  <dimension ref="A1:AF210"/>
  <sheetViews>
    <sheetView showGridLines="0" zoomScale="90" workbookViewId="0">
      <pane xSplit="8" ySplit="14" topLeftCell="I15" activePane="bottomRight" state="frozen"/>
      <selection pane="bottomLeft" activeCell="A15" sqref="A15"/>
      <selection pane="topRight" activeCell="I1" sqref="I1"/>
      <selection pane="bottomRight" activeCell="A1" sqref="A1"/>
    </sheetView>
  </sheetViews>
  <sheetFormatPr defaultColWidth="9.140625" customHeight="1" defaultRowHeight="11.25"/>
  <cols>
    <col min="1" max="1" style="988" width="10.7109375" hidden="1" customWidth="1"/>
    <col min="2" max="2" style="1367" width="16.8515625" hidden="1" customWidth="1"/>
    <col min="3" max="3" style="1643" width="5.57421875" hidden="1" customWidth="1"/>
    <col min="4" max="4" style="1636" width="3.00390625" customWidth="1"/>
    <col min="5" max="5" style="1636" width="7.00390625" customWidth="1"/>
    <col min="6" max="6" style="1636" width="54.00390625" customWidth="1"/>
    <col min="7" max="7" style="1636" width="10.00390625" customWidth="1"/>
    <col min="8" max="8" style="1636" width="40.7109375" hidden="1" customWidth="1"/>
    <col min="9" max="9" style="1636" width="40.00390625" customWidth="1"/>
    <col min="10" max="10" style="1636" width="102.00390625" customWidth="1"/>
    <col min="11" max="11" style="1367" width="9.00390625" customWidth="1"/>
    <col min="12" max="12" style="1643" width="5.00390625" customWidth="1"/>
    <col min="13" max="13" style="1643" width="3.00390625" customWidth="1"/>
    <col min="14" max="17" style="1367" width="3.00390625" customWidth="1"/>
    <col min="18" max="18" style="1643" width="10.00390625" customWidth="1"/>
    <col min="19" max="19" style="1367" width="34.00390625" customWidth="1"/>
    <col min="20" max="20" style="1367" width="9.00390625" customWidth="1"/>
    <col min="21" max="21" style="737" width="8.00390625" customWidth="1"/>
    <col min="22" max="26" style="1367" width="8.00390625" customWidth="1"/>
    <col min="27" max="31" style="1633" width="8.00390625" customWidth="1"/>
    <col min="32" max="32" style="1636" width="9.140625" hidden="1"/>
  </cols>
  <sheetData>
    <row s="1367" customFormat="1" customHeight="1" ht="22.5" hidden="1">
      <c r="A1" s="988"/>
      <c r="C1" s="1637"/>
      <c r="D1" s="538"/>
      <c r="H1" s="1161">
        <v>4</v>
      </c>
      <c r="I1" s="1161">
        <v>4</v>
      </c>
      <c r="L1" s="1637"/>
      <c r="M1" s="1637"/>
      <c r="R1" s="1637"/>
      <c r="AF1" s="1161" t="s">
        <v>14</v>
      </c>
    </row>
    <row s="1367" customFormat="1" customHeight="1" ht="22.5" hidden="1">
      <c r="A2" s="988"/>
      <c r="C2" s="1637"/>
      <c r="D2" s="539"/>
      <c r="E2" s="1659"/>
      <c r="F2" s="541"/>
      <c r="G2" s="1658" t="s">
        <v>571</v>
      </c>
      <c r="H2" s="542"/>
      <c r="I2" s="542"/>
      <c r="J2" s="543" t="s">
        <v>574</v>
      </c>
      <c r="K2" s="544"/>
      <c r="L2" s="1637"/>
      <c r="M2" s="1637"/>
      <c r="R2" s="1637"/>
      <c r="U2" s="545"/>
      <c r="AA2" s="1633"/>
      <c r="AB2" s="1633"/>
      <c r="AC2" s="1633"/>
      <c r="AD2" s="1633"/>
      <c r="AE2" s="1633"/>
      <c r="AF2" s="1161">
        <v>0</v>
      </c>
    </row>
    <row customHeight="1" ht="11.25" hidden="1">
      <c r="AF3" s="1632">
        <v>0</v>
      </c>
    </row>
    <row s="1633" customFormat="1" customHeight="1" ht="11.25" hidden="1">
      <c r="A4" s="988"/>
      <c r="B4" s="1161"/>
      <c r="C4" s="1637"/>
      <c r="D4" s="363"/>
      <c r="J4" s="1633">
        <v>4</v>
      </c>
      <c r="K4" s="1161"/>
      <c r="L4" s="1637"/>
      <c r="M4" s="1637"/>
      <c r="N4" s="1161"/>
      <c r="O4" s="1161"/>
      <c r="P4" s="1161"/>
      <c r="Q4" s="1161"/>
      <c r="R4" s="1637"/>
      <c r="S4" s="1161"/>
      <c r="T4" s="1161"/>
      <c r="U4" s="545"/>
      <c r="V4" s="1161"/>
      <c r="W4" s="1161"/>
      <c r="X4" s="1161"/>
      <c r="Y4" s="1161"/>
      <c r="Z4" s="1161"/>
      <c r="AF4" s="1633">
        <v>0</v>
      </c>
    </row>
    <row customHeight="1" ht="11.549999999999999">
      <c r="AF5" s="1632">
        <v>11</v>
      </c>
    </row>
    <row customHeight="1" ht="33.75">
      <c r="E6" s="2249" t="s">
        <v>793</v>
      </c>
      <c r="F6" s="2249"/>
      <c r="G6" s="2249"/>
      <c r="H6" s="2249"/>
      <c r="I6" s="2249"/>
      <c r="J6" s="557"/>
      <c r="AF6" s="1632">
        <v>32</v>
      </c>
    </row>
    <row customHeight="1" ht="25.2">
      <c r="E7" s="2250" t="str">
        <f>IF(org=0,"Не определено",org)</f>
        <v>ПАО "КГК"</v>
      </c>
      <c r="F7" s="2250"/>
      <c r="G7" s="2250"/>
      <c r="H7" s="2250"/>
      <c r="I7" s="2250"/>
      <c r="AF7" s="1632">
        <v>24</v>
      </c>
    </row>
    <row customHeight="1" ht="11.549999999999999">
      <c r="E8" s="1136"/>
      <c r="F8" s="1136"/>
      <c r="G8" s="1136"/>
      <c r="H8" s="1136"/>
      <c r="I8" s="1136"/>
      <c r="AF8" s="1632">
        <v>11</v>
      </c>
    </row>
    <row s="1643" customFormat="1" customHeight="1" ht="1.05">
      <c r="A9" s="1168"/>
      <c r="D9" s="1643"/>
      <c r="H9" s="890"/>
      <c r="I9" s="890" t="s">
        <v>125</v>
      </c>
      <c r="AF9" s="1637">
        <v>1</v>
      </c>
    </row>
    <row customHeight="1" ht="11.549999999999999">
      <c r="E10" s="712"/>
      <c r="F10" s="2368" t="s">
        <v>114</v>
      </c>
      <c r="G10" s="2369"/>
      <c r="H10" s="1660" t="str">
        <f>IF(H9="","",INDEX(DIFFERENTIATION_UNMERGE_VD,MATCH(H9,DIFFERENTIATION_ID_DIFF,0)))</f>
        <v/>
      </c>
      <c r="I10" s="1660">
        <f>IF(I9="","",INDEX(DIFFERENTIATION_UNMERGE_VD,MATCH(I9,DIFFERENTIATION_ID_DIFF,0)))</f>
        <v>0</v>
      </c>
      <c r="J10" s="2128"/>
      <c r="AF10" s="1632">
        <v>11</v>
      </c>
    </row>
    <row customHeight="1" ht="11.549999999999999">
      <c r="E11" s="712"/>
      <c r="F11" s="2368" t="s">
        <v>583</v>
      </c>
      <c r="G11" s="2369"/>
      <c r="H11" s="1660" t="str">
        <f>IF(H9="","",INDEX(DIFFERENTIATION_UNMERGE_AREA,MATCH(H9,DIFFERENTIATION_ID_DIFF,0)))</f>
        <v/>
      </c>
      <c r="I11" s="1660" t="str">
        <f>IF(I9="","",INDEX(DIFFERENTIATION_UNMERGE_AREA,MATCH(I9,DIFFERENTIATION_ID_DIFF,0)))</f>
        <v/>
      </c>
      <c r="J11" s="2128"/>
      <c r="AF11" s="1632">
        <v>11</v>
      </c>
    </row>
    <row customHeight="1" ht="11.25" hidden="1">
      <c r="E12" s="1663"/>
      <c r="F12" s="2391" t="s">
        <v>584</v>
      </c>
      <c r="G12" s="2392"/>
      <c r="H12" s="1664" t="str">
        <f>IF(H9="","",INDEX(DIFFERENTIATION_UNMERGE_SYSTEM,MATCH(H9,DIFFERENTIATION_ID_DIFF,0)))</f>
        <v/>
      </c>
      <c r="I12" s="1664" t="str">
        <f>IF(I9="","",INDEX(DIFFERENTIATION_UNMERGE_SYSTEM,MATCH(I9,DIFFERENTIATION_ID_DIFF,0)))</f>
        <v>без дифференциации</v>
      </c>
      <c r="J12" s="2128"/>
      <c r="AF12" s="1632">
        <v>0</v>
      </c>
    </row>
    <row customHeight="1" ht="11.549999999999999">
      <c r="E13" s="2370" t="s">
        <v>317</v>
      </c>
      <c r="F13" s="2371"/>
      <c r="G13" s="2371"/>
      <c r="H13" s="1657"/>
      <c r="I13" s="1657"/>
      <c r="J13" s="2128"/>
      <c r="AF13" s="1632">
        <v>11</v>
      </c>
    </row>
    <row customHeight="1" ht="24">
      <c r="E14" s="1658" t="s">
        <v>89</v>
      </c>
      <c r="F14" s="1661" t="s">
        <v>319</v>
      </c>
      <c r="G14" s="1661" t="s">
        <v>585</v>
      </c>
      <c r="H14" s="1661" t="s">
        <v>320</v>
      </c>
      <c r="I14" s="1661" t="s">
        <v>320</v>
      </c>
      <c r="J14" s="2128"/>
      <c r="AF14" s="1632">
        <v>23</v>
      </c>
    </row>
    <row customHeight="1" ht="19.95">
      <c r="D15" s="1639"/>
      <c r="E15" s="1631" t="s">
        <v>118</v>
      </c>
      <c r="F15" s="708" t="s">
        <v>794</v>
      </c>
      <c r="G15" s="1658" t="s">
        <v>571</v>
      </c>
      <c r="H15" s="558"/>
      <c r="I15" s="558"/>
      <c r="J15" s="290" t="s">
        <v>795</v>
      </c>
      <c r="K15" s="544" t="s">
        <v>649</v>
      </c>
      <c r="AF15" s="1632">
        <v>19</v>
      </c>
    </row>
    <row customHeight="1" ht="24">
      <c r="D16" s="1639"/>
      <c r="E16" s="1631" t="s">
        <v>103</v>
      </c>
      <c r="F16" s="1666" t="s">
        <v>796</v>
      </c>
      <c r="G16" s="1658" t="s">
        <v>571</v>
      </c>
      <c r="H16" s="559">
        <f>SUM(H17,H20:H27)</f>
        <v>0</v>
      </c>
      <c r="I16" s="559">
        <f>SUM(I17,I20:I27)</f>
        <v>0</v>
      </c>
      <c r="J16" s="290" t="s">
        <v>797</v>
      </c>
      <c r="K16" s="544" t="s">
        <v>649</v>
      </c>
      <c r="AF16" s="1632">
        <v>23</v>
      </c>
    </row>
    <row customHeight="1" ht="35.699999999999996">
      <c r="D17" s="1639"/>
      <c r="E17" s="1665" t="s">
        <v>727</v>
      </c>
      <c r="F17" s="1668" t="s">
        <v>798</v>
      </c>
      <c r="G17" s="1655" t="s">
        <v>571</v>
      </c>
      <c r="H17" s="558"/>
      <c r="I17" s="558"/>
      <c r="J17" s="290" t="s">
        <v>799</v>
      </c>
      <c r="K17" s="544"/>
      <c r="AF17" s="1632">
        <v>34</v>
      </c>
    </row>
    <row customHeight="1" ht="19.95">
      <c r="D18" s="1639"/>
      <c r="E18" s="1665" t="s">
        <v>730</v>
      </c>
      <c r="F18" s="1669" t="s">
        <v>800</v>
      </c>
      <c r="G18" s="1655" t="s">
        <v>571</v>
      </c>
      <c r="H18" s="558"/>
      <c r="I18" s="558"/>
      <c r="J18" s="290"/>
      <c r="K18" s="544"/>
      <c r="AF18" s="1632">
        <v>19</v>
      </c>
    </row>
    <row customHeight="1" ht="24">
      <c r="D19" s="1639"/>
      <c r="E19" s="1665" t="s">
        <v>733</v>
      </c>
      <c r="F19" s="1669" t="s">
        <v>801</v>
      </c>
      <c r="G19" s="1655" t="s">
        <v>571</v>
      </c>
      <c r="H19" s="558"/>
      <c r="I19" s="558"/>
      <c r="J19" s="290"/>
      <c r="K19" s="544"/>
      <c r="AF19" s="1632">
        <v>23</v>
      </c>
    </row>
    <row customHeight="1" ht="35.699999999999996">
      <c r="D20" s="1639"/>
      <c r="E20" s="1665" t="s">
        <v>324</v>
      </c>
      <c r="F20" s="1668" t="s">
        <v>802</v>
      </c>
      <c r="G20" s="1655" t="s">
        <v>571</v>
      </c>
      <c r="H20" s="558"/>
      <c r="I20" s="558"/>
      <c r="J20" s="290"/>
      <c r="K20" s="544"/>
      <c r="AF20" s="1632">
        <v>34</v>
      </c>
    </row>
    <row customHeight="1" ht="48.29999999999999">
      <c r="D21" s="1639"/>
      <c r="E21" s="1665" t="s">
        <v>327</v>
      </c>
      <c r="F21" s="1668" t="s">
        <v>803</v>
      </c>
      <c r="G21" s="1655" t="s">
        <v>571</v>
      </c>
      <c r="H21" s="558"/>
      <c r="I21" s="558"/>
      <c r="J21" s="290"/>
      <c r="K21" s="544"/>
      <c r="AF21" s="1632">
        <v>46</v>
      </c>
    </row>
    <row customHeight="1" ht="60">
      <c r="D22" s="1639"/>
      <c r="E22" s="1665" t="s">
        <v>747</v>
      </c>
      <c r="F22" s="1668" t="s">
        <v>804</v>
      </c>
      <c r="G22" s="1655" t="s">
        <v>571</v>
      </c>
      <c r="H22" s="558"/>
      <c r="I22" s="558"/>
      <c r="J22" s="290"/>
      <c r="K22" s="544"/>
      <c r="AF22" s="1632">
        <v>57</v>
      </c>
    </row>
    <row customHeight="1" ht="35.699999999999996">
      <c r="D23" s="1639"/>
      <c r="E23" s="1665" t="s">
        <v>754</v>
      </c>
      <c r="F23" s="1668" t="s">
        <v>805</v>
      </c>
      <c r="G23" s="1655" t="s">
        <v>571</v>
      </c>
      <c r="H23" s="558"/>
      <c r="I23" s="558"/>
      <c r="J23" s="290"/>
      <c r="K23" s="544"/>
      <c r="AF23" s="1632">
        <v>34</v>
      </c>
    </row>
    <row customHeight="1" ht="35.699999999999996">
      <c r="D24" s="1639"/>
      <c r="E24" s="1665" t="s">
        <v>756</v>
      </c>
      <c r="F24" s="1668" t="s">
        <v>806</v>
      </c>
      <c r="G24" s="1655" t="s">
        <v>571</v>
      </c>
      <c r="H24" s="558"/>
      <c r="I24" s="558"/>
      <c r="J24" s="290"/>
      <c r="K24" s="544"/>
      <c r="AF24" s="1632">
        <v>34</v>
      </c>
    </row>
    <row customHeight="1" ht="24">
      <c r="D25" s="1639"/>
      <c r="E25" s="1665" t="s">
        <v>758</v>
      </c>
      <c r="F25" s="1668" t="s">
        <v>807</v>
      </c>
      <c r="G25" s="1655" t="s">
        <v>571</v>
      </c>
      <c r="H25" s="558"/>
      <c r="I25" s="558"/>
      <c r="J25" s="290"/>
      <c r="K25" s="544"/>
      <c r="AF25" s="1632">
        <v>23</v>
      </c>
    </row>
    <row customHeight="1" ht="76.5">
      <c r="D26" s="1639"/>
      <c r="E26" s="1665" t="s">
        <v>760</v>
      </c>
      <c r="F26" s="1668" t="s">
        <v>808</v>
      </c>
      <c r="G26" s="1655" t="s">
        <v>571</v>
      </c>
      <c r="H26" s="558"/>
      <c r="I26" s="558"/>
      <c r="J26" s="290"/>
      <c r="K26" s="544"/>
      <c r="AF26" s="1632">
        <v>73</v>
      </c>
    </row>
    <row s="1367" customFormat="1" customHeight="1" ht="35.699999999999996">
      <c r="A27" s="988"/>
      <c r="C27" s="1637"/>
      <c r="D27" s="1639"/>
      <c r="E27" s="1630" t="s">
        <v>764</v>
      </c>
      <c r="F27" s="1629" t="s">
        <v>809</v>
      </c>
      <c r="G27" s="1656" t="s">
        <v>571</v>
      </c>
      <c r="H27" s="580">
        <f>SUM(H28:H29)</f>
        <v>0</v>
      </c>
      <c r="I27" s="580">
        <f>SUM(I28:I29)</f>
        <v>0</v>
      </c>
      <c r="J27" s="290" t="s">
        <v>762</v>
      </c>
      <c r="K27" s="544"/>
      <c r="L27" s="1637"/>
      <c r="M27" s="1637"/>
      <c r="R27" s="1637"/>
      <c r="U27" s="545"/>
      <c r="AA27" s="1633"/>
      <c r="AB27" s="1633"/>
      <c r="AC27" s="1633"/>
      <c r="AD27" s="1633"/>
      <c r="AE27" s="1633"/>
      <c r="AF27" s="1161">
        <v>34</v>
      </c>
    </row>
    <row s="1643" customFormat="1" customHeight="1" ht="1.05">
      <c r="A28" s="1168"/>
      <c r="D28" s="549"/>
      <c r="E28" s="803" t="str">
        <f>E27&amp;".0"</f>
        <v>2.9.0</v>
      </c>
      <c r="F28" s="992"/>
      <c r="G28" s="552"/>
      <c r="H28" s="993"/>
      <c r="I28" s="993"/>
      <c r="J28" s="994"/>
      <c r="AF28" s="1637">
        <v>1</v>
      </c>
    </row>
    <row s="1367" customFormat="1" customHeight="1" ht="19.95">
      <c r="A29" s="988"/>
      <c r="C29" s="1637"/>
      <c r="D29" s="1634"/>
      <c r="E29" s="571"/>
      <c r="F29" s="1667" t="s">
        <v>596</v>
      </c>
      <c r="G29" s="573"/>
      <c r="H29" s="574"/>
      <c r="I29" s="574"/>
      <c r="J29" s="302" t="s">
        <v>763</v>
      </c>
      <c r="K29" s="544"/>
      <c r="L29" s="1637"/>
      <c r="M29" s="1637"/>
      <c r="R29" s="1637"/>
      <c r="U29" s="545"/>
      <c r="AA29" s="1633"/>
      <c r="AB29" s="1633"/>
      <c r="AC29" s="1633"/>
      <c r="AD29" s="1633"/>
      <c r="AE29" s="1633"/>
      <c r="AF29" s="1161">
        <v>19</v>
      </c>
    </row>
    <row s="1367" customFormat="1" customHeight="1" ht="24">
      <c r="A30" s="988"/>
      <c r="C30" s="1637"/>
      <c r="D30" s="1639"/>
      <c r="E30" s="1665" t="s">
        <v>91</v>
      </c>
      <c r="F30" s="1662" t="s">
        <v>810</v>
      </c>
      <c r="G30" s="1655" t="s">
        <v>571</v>
      </c>
      <c r="H30" s="558"/>
      <c r="I30" s="558"/>
      <c r="J30" s="290"/>
      <c r="K30" s="544"/>
      <c r="L30" s="1637"/>
      <c r="M30" s="1637"/>
      <c r="R30" s="1637"/>
      <c r="U30" s="545"/>
      <c r="AA30" s="1633"/>
      <c r="AB30" s="1633"/>
      <c r="AC30" s="1633"/>
      <c r="AD30" s="1633"/>
      <c r="AE30" s="1633"/>
      <c r="AF30" s="1161">
        <v>23</v>
      </c>
    </row>
    <row s="1367" customFormat="1" customHeight="1" ht="35.699999999999996">
      <c r="A31" s="988"/>
      <c r="C31" s="1637"/>
      <c r="D31" s="576"/>
      <c r="E31" s="1665" t="s">
        <v>92</v>
      </c>
      <c r="F31" s="1662" t="s">
        <v>811</v>
      </c>
      <c r="G31" s="1655" t="s">
        <v>571</v>
      </c>
      <c r="H31" s="558"/>
      <c r="I31" s="558"/>
      <c r="J31" s="290" t="s">
        <v>812</v>
      </c>
      <c r="K31" s="544"/>
      <c r="L31" s="1637"/>
      <c r="M31" s="1637"/>
      <c r="R31" s="1637"/>
      <c r="U31" s="545"/>
      <c r="AA31" s="1633"/>
      <c r="AB31" s="1633"/>
      <c r="AC31" s="1633"/>
      <c r="AD31" s="1633"/>
      <c r="AE31" s="1633"/>
      <c r="AF31" s="1161">
        <v>34</v>
      </c>
    </row>
    <row s="1367" customFormat="1" customHeight="1" ht="24">
      <c r="A32" s="988"/>
      <c r="C32" s="1637"/>
      <c r="D32" s="1639"/>
      <c r="E32" s="1665" t="s">
        <v>772</v>
      </c>
      <c r="F32" s="691" t="s">
        <v>776</v>
      </c>
      <c r="G32" s="1655" t="s">
        <v>571</v>
      </c>
      <c r="H32" s="558"/>
      <c r="I32" s="558"/>
      <c r="J32" s="290" t="s">
        <v>813</v>
      </c>
      <c r="K32" s="544"/>
      <c r="L32" s="1637"/>
      <c r="M32" s="1637"/>
      <c r="R32" s="1637"/>
      <c r="U32" s="545"/>
      <c r="AA32" s="1633"/>
      <c r="AB32" s="1633"/>
      <c r="AC32" s="1633"/>
      <c r="AD32" s="1633"/>
      <c r="AE32" s="1633"/>
      <c r="AF32" s="1161">
        <v>23</v>
      </c>
    </row>
    <row s="1367" customFormat="1" customHeight="1" ht="24">
      <c r="A33" s="988"/>
      <c r="C33" s="1637"/>
      <c r="D33" s="1639"/>
      <c r="E33" s="1665" t="s">
        <v>814</v>
      </c>
      <c r="F33" s="691" t="s">
        <v>815</v>
      </c>
      <c r="G33" s="1655" t="s">
        <v>571</v>
      </c>
      <c r="H33" s="558"/>
      <c r="I33" s="558"/>
      <c r="J33" s="290" t="s">
        <v>816</v>
      </c>
      <c r="K33" s="544"/>
      <c r="L33" s="1637"/>
      <c r="M33" s="1637"/>
      <c r="R33" s="1637"/>
      <c r="U33" s="545"/>
      <c r="AA33" s="1633"/>
      <c r="AB33" s="1633"/>
      <c r="AC33" s="1633"/>
      <c r="AD33" s="1633"/>
      <c r="AE33" s="1633"/>
      <c r="AF33" s="1161">
        <v>23</v>
      </c>
    </row>
    <row s="1367" customFormat="1" customHeight="1" ht="24">
      <c r="A34" s="988"/>
      <c r="C34" s="1637"/>
      <c r="D34" s="1639"/>
      <c r="E34" s="1665" t="s">
        <v>817</v>
      </c>
      <c r="F34" s="691" t="s">
        <v>782</v>
      </c>
      <c r="G34" s="1655" t="s">
        <v>571</v>
      </c>
      <c r="H34" s="558"/>
      <c r="I34" s="558"/>
      <c r="J34" s="290" t="s">
        <v>818</v>
      </c>
      <c r="K34" s="544"/>
      <c r="L34" s="1637"/>
      <c r="M34" s="1637"/>
      <c r="R34" s="1637"/>
      <c r="U34" s="545"/>
      <c r="AA34" s="1633"/>
      <c r="AB34" s="1633"/>
      <c r="AC34" s="1633"/>
      <c r="AD34" s="1633"/>
      <c r="AE34" s="1633"/>
      <c r="AF34" s="1161">
        <v>23</v>
      </c>
    </row>
    <row s="1367" customFormat="1" customHeight="1" ht="35.699999999999996">
      <c r="A35" s="988"/>
      <c r="C35" s="1637" t="s">
        <v>607</v>
      </c>
      <c r="D35" s="1639"/>
      <c r="E35" s="1665" t="s">
        <v>119</v>
      </c>
      <c r="F35" s="1662" t="s">
        <v>648</v>
      </c>
      <c r="G35" s="1658" t="s">
        <v>323</v>
      </c>
      <c r="H35" s="402"/>
      <c r="I35" s="402"/>
      <c r="J35" s="290" t="s">
        <v>819</v>
      </c>
      <c r="K35" s="544"/>
      <c r="L35" s="1637"/>
      <c r="M35" s="1637"/>
      <c r="R35" s="1637"/>
      <c r="U35" s="545"/>
      <c r="AA35" s="1633"/>
      <c r="AB35" s="1633"/>
      <c r="AC35" s="1633"/>
      <c r="AD35" s="1633"/>
      <c r="AE35" s="1633"/>
      <c r="AF35" s="1161">
        <v>34</v>
      </c>
    </row>
    <row s="1367" customFormat="1" customHeight="1" ht="35.699999999999996">
      <c r="A36" s="988"/>
      <c r="C36" s="1637"/>
      <c r="D36" s="1639"/>
      <c r="E36" s="1665" t="s">
        <v>93</v>
      </c>
      <c r="F36" s="1662" t="s">
        <v>820</v>
      </c>
      <c r="G36" s="1655" t="s">
        <v>787</v>
      </c>
      <c r="H36" s="546"/>
      <c r="I36" s="546"/>
      <c r="J36" s="290" t="s">
        <v>788</v>
      </c>
      <c r="K36" s="544"/>
      <c r="L36" s="1637"/>
      <c r="M36" s="1637"/>
      <c r="R36" s="1637"/>
      <c r="U36" s="545"/>
      <c r="AA36" s="1633"/>
      <c r="AB36" s="1633"/>
      <c r="AC36" s="1633"/>
      <c r="AD36" s="1633"/>
      <c r="AE36" s="1633"/>
      <c r="AF36" s="1161">
        <v>34</v>
      </c>
    </row>
    <row s="1367" customFormat="1" customHeight="1" ht="24">
      <c r="A37" s="988"/>
      <c r="C37" s="1637"/>
      <c r="D37" s="1639"/>
      <c r="E37" s="1665" t="s">
        <v>94</v>
      </c>
      <c r="F37" s="1662" t="s">
        <v>821</v>
      </c>
      <c r="G37" s="1655" t="s">
        <v>790</v>
      </c>
      <c r="H37" s="546"/>
      <c r="I37" s="546"/>
      <c r="J37" s="290" t="s">
        <v>791</v>
      </c>
      <c r="K37" s="544"/>
      <c r="L37" s="1637"/>
      <c r="M37" s="1637"/>
      <c r="R37" s="1637"/>
      <c r="U37" s="545"/>
      <c r="AA37" s="1633"/>
      <c r="AB37" s="1633"/>
      <c r="AC37" s="1633"/>
      <c r="AD37" s="1633"/>
      <c r="AE37" s="1633"/>
      <c r="AF37" s="1161">
        <v>23</v>
      </c>
    </row>
    <row customHeight="1" ht="11.549999999999999">
      <c r="D38" s="1639"/>
      <c r="AF38" s="1632">
        <v>11</v>
      </c>
    </row>
    <row customHeight="1" ht="27.299999999999997">
      <c r="D39" s="1639"/>
      <c r="E39" s="1254" t="s">
        <v>822</v>
      </c>
      <c r="F39" s="2286" t="s">
        <v>823</v>
      </c>
      <c r="G39" s="2286"/>
      <c r="H39" s="370"/>
      <c r="I39" s="370"/>
      <c r="J39" s="370"/>
      <c r="AF39" s="1632">
        <v>26</v>
      </c>
    </row>
    <row s="1642" customFormat="1" customHeight="1" ht="39.75">
      <c r="A40" s="988"/>
      <c r="B40" s="1637"/>
      <c r="C40" s="1637"/>
      <c r="D40" s="352"/>
      <c r="F40" s="2286" t="s">
        <v>824</v>
      </c>
      <c r="G40" s="2286"/>
      <c r="H40" s="370"/>
      <c r="I40" s="370"/>
      <c r="J40" s="370"/>
      <c r="K40" s="1161"/>
      <c r="L40" s="1637"/>
      <c r="M40" s="1637"/>
      <c r="N40" s="1161"/>
      <c r="O40" s="1161"/>
      <c r="P40" s="1161"/>
      <c r="Q40" s="1161"/>
      <c r="R40" s="1637"/>
      <c r="S40" s="1161"/>
      <c r="T40" s="1161"/>
      <c r="U40" s="545"/>
      <c r="V40" s="1161"/>
      <c r="W40" s="1161"/>
      <c r="X40" s="1161"/>
      <c r="Y40" s="1161"/>
      <c r="Z40" s="1161"/>
      <c r="AA40" s="1633"/>
      <c r="AB40" s="567"/>
      <c r="AC40" s="567"/>
      <c r="AD40" s="567"/>
      <c r="AE40" s="567"/>
      <c r="AF40" s="1642">
        <v>38</v>
      </c>
    </row>
    <row s="1642" customFormat="1" customHeight="1" ht="11.549999999999999">
      <c r="A41" s="988"/>
      <c r="B41" s="1637"/>
      <c r="C41" s="1637"/>
      <c r="D41" s="352"/>
      <c r="K41" s="1161"/>
      <c r="L41" s="1637"/>
      <c r="M41" s="1637"/>
      <c r="N41" s="1161"/>
      <c r="O41" s="1161"/>
      <c r="P41" s="1161"/>
      <c r="Q41" s="1161"/>
      <c r="R41" s="1637"/>
      <c r="S41" s="1161"/>
      <c r="T41" s="1161"/>
      <c r="U41" s="545"/>
      <c r="V41" s="1161"/>
      <c r="W41" s="1161"/>
      <c r="X41" s="1161"/>
      <c r="Y41" s="1161"/>
      <c r="Z41" s="1161"/>
      <c r="AA41" s="1633"/>
      <c r="AB41" s="567"/>
      <c r="AC41" s="567"/>
      <c r="AD41" s="567"/>
      <c r="AE41" s="567"/>
      <c r="AF41" s="1642">
        <v>11</v>
      </c>
    </row>
    <row s="1642" customFormat="1" customHeight="1" ht="11.549999999999999">
      <c r="A42" s="988"/>
      <c r="B42" s="1637"/>
      <c r="C42" s="1637"/>
      <c r="D42" s="352"/>
      <c r="K42" s="1161"/>
      <c r="L42" s="1637"/>
      <c r="M42" s="1637"/>
      <c r="N42" s="1161"/>
      <c r="O42" s="1161"/>
      <c r="P42" s="1161"/>
      <c r="Q42" s="1161"/>
      <c r="R42" s="1637"/>
      <c r="S42" s="1161"/>
      <c r="T42" s="1161"/>
      <c r="U42" s="545"/>
      <c r="V42" s="1161"/>
      <c r="W42" s="1161"/>
      <c r="X42" s="1161"/>
      <c r="Y42" s="1161"/>
      <c r="Z42" s="1161"/>
      <c r="AA42" s="1633"/>
      <c r="AB42" s="567"/>
      <c r="AC42" s="567"/>
      <c r="AD42" s="567"/>
      <c r="AE42" s="567"/>
      <c r="AF42" s="1642">
        <v>11</v>
      </c>
    </row>
    <row s="1642" customFormat="1" customHeight="1" ht="11.549999999999999">
      <c r="A43" s="988"/>
      <c r="B43" s="1637"/>
      <c r="C43" s="1637"/>
      <c r="D43" s="352"/>
      <c r="H43" s="567"/>
      <c r="I43" s="567"/>
      <c r="K43" s="1161"/>
      <c r="L43" s="1637"/>
      <c r="M43" s="1637"/>
      <c r="N43" s="1161"/>
      <c r="O43" s="1161"/>
      <c r="P43" s="1161"/>
      <c r="Q43" s="1161"/>
      <c r="R43" s="1637"/>
      <c r="S43" s="1161"/>
      <c r="T43" s="1161"/>
      <c r="U43" s="545"/>
      <c r="V43" s="1161"/>
      <c r="W43" s="1161"/>
      <c r="X43" s="1161"/>
      <c r="Y43" s="1161"/>
      <c r="Z43" s="1161"/>
      <c r="AA43" s="1633"/>
      <c r="AB43" s="567"/>
      <c r="AC43" s="567"/>
      <c r="AD43" s="567"/>
      <c r="AE43" s="567"/>
      <c r="AF43" s="1642">
        <v>11</v>
      </c>
    </row>
    <row s="1642" customFormat="1" customHeight="1" ht="11.549999999999999">
      <c r="A44" s="988"/>
      <c r="B44" s="1637"/>
      <c r="C44" s="1637"/>
      <c r="D44" s="352"/>
      <c r="K44" s="1161"/>
      <c r="L44" s="1637"/>
      <c r="M44" s="1637"/>
      <c r="N44" s="1161"/>
      <c r="O44" s="1161"/>
      <c r="P44" s="1161"/>
      <c r="Q44" s="1161"/>
      <c r="R44" s="1637"/>
      <c r="S44" s="1161"/>
      <c r="T44" s="1161"/>
      <c r="U44" s="545"/>
      <c r="V44" s="1161"/>
      <c r="W44" s="1161"/>
      <c r="X44" s="1161"/>
      <c r="Y44" s="1161"/>
      <c r="Z44" s="1161"/>
      <c r="AA44" s="1633"/>
      <c r="AB44" s="567"/>
      <c r="AC44" s="567"/>
      <c r="AD44" s="567"/>
      <c r="AE44" s="567"/>
      <c r="AF44" s="1642">
        <v>11</v>
      </c>
    </row>
    <row s="1642" customFormat="1" customHeight="1" ht="11.549999999999999">
      <c r="A45" s="988"/>
      <c r="B45" s="1637"/>
      <c r="C45" s="1637"/>
      <c r="D45" s="352"/>
      <c r="K45" s="1161"/>
      <c r="L45" s="1637"/>
      <c r="M45" s="1637"/>
      <c r="N45" s="1161"/>
      <c r="O45" s="1161"/>
      <c r="P45" s="1161"/>
      <c r="Q45" s="1161"/>
      <c r="R45" s="1637"/>
      <c r="S45" s="1161"/>
      <c r="T45" s="1161"/>
      <c r="U45" s="545"/>
      <c r="V45" s="1161"/>
      <c r="W45" s="1161"/>
      <c r="X45" s="1161"/>
      <c r="Y45" s="1161"/>
      <c r="Z45" s="1161"/>
      <c r="AA45" s="1633"/>
      <c r="AB45" s="567"/>
      <c r="AC45" s="567"/>
      <c r="AD45" s="567"/>
      <c r="AE45" s="567"/>
      <c r="AF45" s="1642">
        <v>11</v>
      </c>
    </row>
    <row s="1642" customFormat="1" customHeight="1" ht="11.549999999999999">
      <c r="A46" s="988"/>
      <c r="B46" s="1637"/>
      <c r="C46" s="1637"/>
      <c r="D46" s="352"/>
      <c r="K46" s="1161"/>
      <c r="L46" s="1637"/>
      <c r="M46" s="1637"/>
      <c r="N46" s="1161"/>
      <c r="O46" s="1161"/>
      <c r="P46" s="1161"/>
      <c r="Q46" s="1161"/>
      <c r="R46" s="1637"/>
      <c r="S46" s="1161"/>
      <c r="T46" s="1161"/>
      <c r="U46" s="545"/>
      <c r="V46" s="1161"/>
      <c r="W46" s="1161"/>
      <c r="X46" s="1161"/>
      <c r="Y46" s="1161"/>
      <c r="Z46" s="1161"/>
      <c r="AA46" s="1633"/>
      <c r="AB46" s="567"/>
      <c r="AC46" s="567"/>
      <c r="AD46" s="567"/>
      <c r="AE46" s="567"/>
      <c r="AF46" s="1642">
        <v>11</v>
      </c>
    </row>
    <row s="1642" customFormat="1" customHeight="1" ht="11.549999999999999">
      <c r="A47" s="988"/>
      <c r="B47" s="1637"/>
      <c r="C47" s="1637"/>
      <c r="D47" s="352"/>
      <c r="K47" s="1161"/>
      <c r="L47" s="1637"/>
      <c r="M47" s="1637"/>
      <c r="N47" s="1161"/>
      <c r="O47" s="1161"/>
      <c r="P47" s="1161"/>
      <c r="Q47" s="1161"/>
      <c r="R47" s="1637"/>
      <c r="S47" s="1161"/>
      <c r="T47" s="1161"/>
      <c r="U47" s="545"/>
      <c r="V47" s="1161"/>
      <c r="W47" s="1161"/>
      <c r="X47" s="1161"/>
      <c r="Y47" s="1161"/>
      <c r="Z47" s="1161"/>
      <c r="AA47" s="1633"/>
      <c r="AB47" s="567"/>
      <c r="AC47" s="567"/>
      <c r="AD47" s="567"/>
      <c r="AE47" s="567"/>
      <c r="AF47" s="1642">
        <v>11</v>
      </c>
    </row>
    <row s="1642" customFormat="1" customHeight="1" ht="11.549999999999999">
      <c r="A48" s="988"/>
      <c r="B48" s="1637"/>
      <c r="C48" s="1637"/>
      <c r="D48" s="352"/>
      <c r="K48" s="1161"/>
      <c r="L48" s="1637"/>
      <c r="M48" s="1637"/>
      <c r="N48" s="1161"/>
      <c r="O48" s="1161"/>
      <c r="P48" s="1161"/>
      <c r="Q48" s="1161"/>
      <c r="R48" s="1637"/>
      <c r="S48" s="1161"/>
      <c r="T48" s="1161"/>
      <c r="U48" s="545"/>
      <c r="V48" s="1161"/>
      <c r="W48" s="1161"/>
      <c r="X48" s="1161"/>
      <c r="Y48" s="1161"/>
      <c r="Z48" s="1161"/>
      <c r="AA48" s="1633"/>
      <c r="AB48" s="567"/>
      <c r="AC48" s="567"/>
      <c r="AD48" s="567"/>
      <c r="AE48" s="567"/>
      <c r="AF48" s="1642">
        <v>11</v>
      </c>
    </row>
    <row s="1642" customFormat="1" customHeight="1" ht="11.549999999999999">
      <c r="A49" s="988"/>
      <c r="B49" s="1637"/>
      <c r="C49" s="1637"/>
      <c r="D49" s="352"/>
      <c r="K49" s="1161"/>
      <c r="L49" s="1637"/>
      <c r="M49" s="1637"/>
      <c r="N49" s="1161"/>
      <c r="O49" s="1161"/>
      <c r="P49" s="1161"/>
      <c r="Q49" s="1161"/>
      <c r="R49" s="1637"/>
      <c r="S49" s="1161"/>
      <c r="T49" s="1161"/>
      <c r="U49" s="545"/>
      <c r="V49" s="1161"/>
      <c r="W49" s="1161"/>
      <c r="X49" s="1161"/>
      <c r="Y49" s="1161"/>
      <c r="Z49" s="1161"/>
      <c r="AA49" s="1633"/>
      <c r="AB49" s="567"/>
      <c r="AC49" s="567"/>
      <c r="AD49" s="567"/>
      <c r="AE49" s="567"/>
      <c r="AF49" s="1642">
        <v>11</v>
      </c>
    </row>
    <row s="1642" customFormat="1" customHeight="1" ht="11.549999999999999">
      <c r="A50" s="988"/>
      <c r="B50" s="1637"/>
      <c r="C50" s="1637"/>
      <c r="D50" s="352"/>
      <c r="K50" s="1161"/>
      <c r="L50" s="1637"/>
      <c r="M50" s="1637"/>
      <c r="N50" s="1161"/>
      <c r="O50" s="1161"/>
      <c r="P50" s="1161"/>
      <c r="Q50" s="1161"/>
      <c r="R50" s="1637"/>
      <c r="S50" s="1161"/>
      <c r="T50" s="1161"/>
      <c r="U50" s="545"/>
      <c r="V50" s="1161"/>
      <c r="W50" s="1161"/>
      <c r="X50" s="1161"/>
      <c r="Y50" s="1161"/>
      <c r="Z50" s="1161"/>
      <c r="AA50" s="1633"/>
      <c r="AB50" s="567"/>
      <c r="AC50" s="567"/>
      <c r="AD50" s="567"/>
      <c r="AE50" s="567"/>
      <c r="AF50" s="1642">
        <v>11</v>
      </c>
    </row>
    <row s="1642" customFormat="1" customHeight="1" ht="11.549999999999999">
      <c r="A51" s="988"/>
      <c r="B51" s="1637"/>
      <c r="C51" s="1637"/>
      <c r="D51" s="352"/>
      <c r="K51" s="1161"/>
      <c r="L51" s="1637"/>
      <c r="M51" s="1637"/>
      <c r="N51" s="1161"/>
      <c r="O51" s="1161"/>
      <c r="P51" s="1161"/>
      <c r="Q51" s="1161"/>
      <c r="R51" s="1637"/>
      <c r="S51" s="1161"/>
      <c r="T51" s="1161"/>
      <c r="U51" s="545"/>
      <c r="V51" s="1161"/>
      <c r="W51" s="1161"/>
      <c r="X51" s="1161"/>
      <c r="Y51" s="1161"/>
      <c r="Z51" s="1161"/>
      <c r="AA51" s="1633"/>
      <c r="AB51" s="567"/>
      <c r="AC51" s="567"/>
      <c r="AD51" s="567"/>
      <c r="AE51" s="567"/>
      <c r="AF51" s="1642">
        <v>11</v>
      </c>
    </row>
    <row s="1642" customFormat="1" customHeight="1" ht="11.549999999999999">
      <c r="A52" s="988"/>
      <c r="B52" s="1637"/>
      <c r="C52" s="1637"/>
      <c r="D52" s="352"/>
      <c r="K52" s="1161"/>
      <c r="L52" s="1637"/>
      <c r="M52" s="1637"/>
      <c r="N52" s="1161"/>
      <c r="O52" s="1161"/>
      <c r="P52" s="1161"/>
      <c r="Q52" s="1161"/>
      <c r="R52" s="1637"/>
      <c r="S52" s="1161"/>
      <c r="T52" s="1161"/>
      <c r="U52" s="545"/>
      <c r="V52" s="1161"/>
      <c r="W52" s="1161"/>
      <c r="X52" s="1161"/>
      <c r="Y52" s="1161"/>
      <c r="Z52" s="1161"/>
      <c r="AA52" s="1633"/>
      <c r="AB52" s="567"/>
      <c r="AC52" s="567"/>
      <c r="AD52" s="567"/>
      <c r="AE52" s="567"/>
      <c r="AF52" s="1642">
        <v>11</v>
      </c>
    </row>
    <row s="1642" customFormat="1" customHeight="1" ht="11.549999999999999">
      <c r="A53" s="988"/>
      <c r="B53" s="1637"/>
      <c r="C53" s="1637"/>
      <c r="D53" s="352"/>
      <c r="K53" s="1161"/>
      <c r="L53" s="1637"/>
      <c r="M53" s="1637"/>
      <c r="N53" s="1161"/>
      <c r="O53" s="1161"/>
      <c r="P53" s="1161"/>
      <c r="Q53" s="1161"/>
      <c r="R53" s="1637"/>
      <c r="S53" s="1161"/>
      <c r="T53" s="1161"/>
      <c r="U53" s="545"/>
      <c r="V53" s="1161"/>
      <c r="W53" s="1161"/>
      <c r="X53" s="1161"/>
      <c r="Y53" s="1161"/>
      <c r="Z53" s="1161"/>
      <c r="AA53" s="1633"/>
      <c r="AB53" s="567"/>
      <c r="AC53" s="567"/>
      <c r="AD53" s="567"/>
      <c r="AE53" s="567"/>
      <c r="AF53" s="1642">
        <v>11</v>
      </c>
    </row>
    <row s="1642" customFormat="1" customHeight="1" ht="11.549999999999999">
      <c r="A54" s="988"/>
      <c r="B54" s="1637"/>
      <c r="C54" s="1637"/>
      <c r="D54" s="352"/>
      <c r="K54" s="1161"/>
      <c r="L54" s="1637"/>
      <c r="M54" s="1637"/>
      <c r="N54" s="1161"/>
      <c r="O54" s="1161"/>
      <c r="P54" s="1161"/>
      <c r="Q54" s="1161"/>
      <c r="R54" s="1637"/>
      <c r="S54" s="1161"/>
      <c r="T54" s="1161"/>
      <c r="U54" s="545"/>
      <c r="V54" s="1161"/>
      <c r="W54" s="1161"/>
      <c r="X54" s="1161"/>
      <c r="Y54" s="1161"/>
      <c r="Z54" s="1161"/>
      <c r="AA54" s="1633"/>
      <c r="AB54" s="567"/>
      <c r="AC54" s="567"/>
      <c r="AD54" s="567"/>
      <c r="AE54" s="567"/>
      <c r="AF54" s="1642">
        <v>11</v>
      </c>
    </row>
    <row s="1642" customFormat="1" customHeight="1" ht="11.549999999999999">
      <c r="A55" s="988"/>
      <c r="B55" s="1637"/>
      <c r="C55" s="1637"/>
      <c r="D55" s="352"/>
      <c r="K55" s="1161"/>
      <c r="L55" s="1637"/>
      <c r="M55" s="1637"/>
      <c r="N55" s="1161"/>
      <c r="O55" s="1161"/>
      <c r="P55" s="1161"/>
      <c r="Q55" s="1161"/>
      <c r="R55" s="1637"/>
      <c r="S55" s="1161"/>
      <c r="T55" s="1161"/>
      <c r="U55" s="545"/>
      <c r="V55" s="1161"/>
      <c r="W55" s="1161"/>
      <c r="X55" s="1161"/>
      <c r="Y55" s="1161"/>
      <c r="Z55" s="1161"/>
      <c r="AA55" s="1633"/>
      <c r="AB55" s="567"/>
      <c r="AC55" s="567"/>
      <c r="AD55" s="567"/>
      <c r="AE55" s="567"/>
      <c r="AF55" s="1642">
        <v>11</v>
      </c>
    </row>
    <row s="1642" customFormat="1" customHeight="1" ht="11.549999999999999">
      <c r="A56" s="988"/>
      <c r="B56" s="1637"/>
      <c r="C56" s="1637"/>
      <c r="D56" s="352"/>
      <c r="K56" s="1161"/>
      <c r="L56" s="1637"/>
      <c r="M56" s="1637"/>
      <c r="N56" s="1161"/>
      <c r="O56" s="1161"/>
      <c r="P56" s="1161"/>
      <c r="Q56" s="1161"/>
      <c r="R56" s="1637"/>
      <c r="S56" s="1161"/>
      <c r="T56" s="1161"/>
      <c r="U56" s="545"/>
      <c r="V56" s="1161"/>
      <c r="W56" s="1161"/>
      <c r="X56" s="1161"/>
      <c r="Y56" s="1161"/>
      <c r="Z56" s="1161"/>
      <c r="AA56" s="1633"/>
      <c r="AB56" s="567"/>
      <c r="AC56" s="567"/>
      <c r="AD56" s="567"/>
      <c r="AE56" s="567"/>
      <c r="AF56" s="1642">
        <v>11</v>
      </c>
    </row>
    <row s="1642" customFormat="1" customHeight="1" ht="11.549999999999999">
      <c r="A57" s="988"/>
      <c r="B57" s="1637"/>
      <c r="C57" s="1637"/>
      <c r="D57" s="352"/>
      <c r="K57" s="1161"/>
      <c r="L57" s="1637"/>
      <c r="M57" s="1637"/>
      <c r="N57" s="1161"/>
      <c r="O57" s="1161"/>
      <c r="P57" s="1161"/>
      <c r="Q57" s="1161"/>
      <c r="R57" s="1637"/>
      <c r="S57" s="1161"/>
      <c r="T57" s="1161"/>
      <c r="U57" s="545"/>
      <c r="V57" s="1161"/>
      <c r="W57" s="1161"/>
      <c r="X57" s="1161"/>
      <c r="Y57" s="1161"/>
      <c r="Z57" s="1161"/>
      <c r="AA57" s="1633"/>
      <c r="AB57" s="567"/>
      <c r="AC57" s="567"/>
      <c r="AD57" s="567"/>
      <c r="AE57" s="567"/>
      <c r="AF57" s="1642">
        <v>11</v>
      </c>
    </row>
    <row s="1642" customFormat="1" customHeight="1" ht="11.549999999999999">
      <c r="A58" s="988"/>
      <c r="B58" s="1637"/>
      <c r="C58" s="1637"/>
      <c r="D58" s="352"/>
      <c r="K58" s="1161"/>
      <c r="L58" s="1637"/>
      <c r="M58" s="1637"/>
      <c r="N58" s="1161"/>
      <c r="O58" s="1161"/>
      <c r="P58" s="1161"/>
      <c r="Q58" s="1161"/>
      <c r="R58" s="1637"/>
      <c r="S58" s="1161"/>
      <c r="T58" s="1161"/>
      <c r="U58" s="545"/>
      <c r="V58" s="1161"/>
      <c r="W58" s="1161"/>
      <c r="X58" s="1161"/>
      <c r="Y58" s="1161"/>
      <c r="Z58" s="1161"/>
      <c r="AA58" s="1633"/>
      <c r="AB58" s="567"/>
      <c r="AC58" s="567"/>
      <c r="AD58" s="567"/>
      <c r="AE58" s="567"/>
      <c r="AF58" s="1642">
        <v>11</v>
      </c>
    </row>
    <row s="1642" customFormat="1" customHeight="1" ht="11.549999999999999">
      <c r="A59" s="988"/>
      <c r="B59" s="1637"/>
      <c r="C59" s="1637"/>
      <c r="D59" s="352"/>
      <c r="K59" s="1161"/>
      <c r="L59" s="1637"/>
      <c r="M59" s="1637"/>
      <c r="N59" s="1161"/>
      <c r="O59" s="1161"/>
      <c r="P59" s="1161"/>
      <c r="Q59" s="1161"/>
      <c r="R59" s="1637"/>
      <c r="S59" s="1161"/>
      <c r="T59" s="1161"/>
      <c r="U59" s="545"/>
      <c r="V59" s="1161"/>
      <c r="W59" s="1161"/>
      <c r="X59" s="1161"/>
      <c r="Y59" s="1161"/>
      <c r="Z59" s="1161"/>
      <c r="AA59" s="1633"/>
      <c r="AB59" s="567"/>
      <c r="AC59" s="567"/>
      <c r="AD59" s="567"/>
      <c r="AE59" s="567"/>
      <c r="AF59" s="1642">
        <v>11</v>
      </c>
    </row>
    <row s="1642" customFormat="1" customHeight="1" ht="11.549999999999999">
      <c r="A60" s="988"/>
      <c r="B60" s="1637"/>
      <c r="C60" s="1637"/>
      <c r="D60" s="352"/>
      <c r="K60" s="1161"/>
      <c r="L60" s="1637"/>
      <c r="M60" s="1637"/>
      <c r="N60" s="1161"/>
      <c r="O60" s="1161"/>
      <c r="P60" s="1161"/>
      <c r="Q60" s="1161"/>
      <c r="R60" s="1637"/>
      <c r="S60" s="1161"/>
      <c r="T60" s="1161"/>
      <c r="U60" s="545"/>
      <c r="V60" s="1161"/>
      <c r="W60" s="1161"/>
      <c r="X60" s="1161"/>
      <c r="Y60" s="1161"/>
      <c r="Z60" s="1161"/>
      <c r="AA60" s="1633"/>
      <c r="AB60" s="567"/>
      <c r="AC60" s="567"/>
      <c r="AD60" s="567"/>
      <c r="AE60" s="567"/>
      <c r="AF60" s="1642">
        <v>11</v>
      </c>
    </row>
    <row s="1642" customFormat="1" customHeight="1" ht="11.549999999999999">
      <c r="A61" s="988"/>
      <c r="B61" s="1637"/>
      <c r="C61" s="1637"/>
      <c r="D61" s="352"/>
      <c r="K61" s="1161"/>
      <c r="L61" s="1637"/>
      <c r="M61" s="1637"/>
      <c r="N61" s="1161"/>
      <c r="O61" s="1161"/>
      <c r="P61" s="1161"/>
      <c r="Q61" s="1161"/>
      <c r="R61" s="1637"/>
      <c r="S61" s="1161"/>
      <c r="T61" s="1161"/>
      <c r="U61" s="545"/>
      <c r="V61" s="1161"/>
      <c r="W61" s="1161"/>
      <c r="X61" s="1161"/>
      <c r="Y61" s="1161"/>
      <c r="Z61" s="1161"/>
      <c r="AA61" s="1633"/>
      <c r="AB61" s="567"/>
      <c r="AC61" s="567"/>
      <c r="AD61" s="567"/>
      <c r="AE61" s="567"/>
      <c r="AF61" s="1642">
        <v>11</v>
      </c>
    </row>
    <row s="1642" customFormat="1" customHeight="1" ht="11.549999999999999">
      <c r="A62" s="988"/>
      <c r="B62" s="1637"/>
      <c r="C62" s="1637"/>
      <c r="D62" s="352"/>
      <c r="K62" s="1161"/>
      <c r="L62" s="1637"/>
      <c r="M62" s="1637"/>
      <c r="N62" s="1161"/>
      <c r="O62" s="1161"/>
      <c r="P62" s="1161"/>
      <c r="Q62" s="1161"/>
      <c r="R62" s="1637"/>
      <c r="S62" s="1161"/>
      <c r="T62" s="1161"/>
      <c r="U62" s="545"/>
      <c r="V62" s="1161"/>
      <c r="W62" s="1161"/>
      <c r="X62" s="1161"/>
      <c r="Y62" s="1161"/>
      <c r="Z62" s="1161"/>
      <c r="AA62" s="1633"/>
      <c r="AB62" s="567"/>
      <c r="AC62" s="567"/>
      <c r="AD62" s="567"/>
      <c r="AE62" s="567"/>
      <c r="AF62" s="1642">
        <v>11</v>
      </c>
    </row>
    <row s="1642" customFormat="1" customHeight="1" ht="11.549999999999999">
      <c r="A63" s="988"/>
      <c r="B63" s="1637"/>
      <c r="C63" s="1637"/>
      <c r="D63" s="352"/>
      <c r="K63" s="1161"/>
      <c r="L63" s="1637"/>
      <c r="M63" s="1637"/>
      <c r="N63" s="1161"/>
      <c r="O63" s="1161"/>
      <c r="P63" s="1161"/>
      <c r="Q63" s="1161"/>
      <c r="R63" s="1637"/>
      <c r="S63" s="1161"/>
      <c r="T63" s="1161"/>
      <c r="U63" s="545"/>
      <c r="V63" s="1161"/>
      <c r="W63" s="1161"/>
      <c r="X63" s="1161"/>
      <c r="Y63" s="1161"/>
      <c r="Z63" s="1161"/>
      <c r="AA63" s="1633"/>
      <c r="AB63" s="567"/>
      <c r="AC63" s="567"/>
      <c r="AD63" s="567"/>
      <c r="AE63" s="567"/>
      <c r="AF63" s="1642">
        <v>11</v>
      </c>
    </row>
    <row s="1642" customFormat="1" customHeight="1" ht="11.549999999999999">
      <c r="A64" s="988"/>
      <c r="B64" s="1637"/>
      <c r="C64" s="1637"/>
      <c r="D64" s="352"/>
      <c r="K64" s="1161"/>
      <c r="L64" s="1637"/>
      <c r="M64" s="1637"/>
      <c r="N64" s="1161"/>
      <c r="O64" s="1161"/>
      <c r="P64" s="1161"/>
      <c r="Q64" s="1161"/>
      <c r="R64" s="1637"/>
      <c r="S64" s="1161"/>
      <c r="T64" s="1161"/>
      <c r="U64" s="545"/>
      <c r="V64" s="1161"/>
      <c r="W64" s="1161"/>
      <c r="X64" s="1161"/>
      <c r="Y64" s="1161"/>
      <c r="Z64" s="1161"/>
      <c r="AA64" s="1633"/>
      <c r="AB64" s="567"/>
      <c r="AC64" s="567"/>
      <c r="AD64" s="567"/>
      <c r="AE64" s="567"/>
      <c r="AF64" s="1642">
        <v>11</v>
      </c>
    </row>
    <row s="1642" customFormat="1" customHeight="1" ht="11.549999999999999">
      <c r="A65" s="988"/>
      <c r="B65" s="1637"/>
      <c r="C65" s="1637"/>
      <c r="D65" s="352"/>
      <c r="K65" s="1161"/>
      <c r="L65" s="1637"/>
      <c r="M65" s="1637"/>
      <c r="N65" s="1161"/>
      <c r="O65" s="1161"/>
      <c r="P65" s="1161"/>
      <c r="Q65" s="1161"/>
      <c r="R65" s="1637"/>
      <c r="S65" s="1161"/>
      <c r="T65" s="1161"/>
      <c r="U65" s="545"/>
      <c r="V65" s="1161"/>
      <c r="W65" s="1161"/>
      <c r="X65" s="1161"/>
      <c r="Y65" s="1161"/>
      <c r="Z65" s="1161"/>
      <c r="AA65" s="1633"/>
      <c r="AB65" s="567"/>
      <c r="AC65" s="567"/>
      <c r="AD65" s="567"/>
      <c r="AE65" s="567"/>
      <c r="AF65" s="1642">
        <v>11</v>
      </c>
    </row>
    <row s="1642" customFormat="1" customHeight="1" ht="11.549999999999999">
      <c r="A66" s="988"/>
      <c r="B66" s="1637"/>
      <c r="C66" s="1637"/>
      <c r="D66" s="352"/>
      <c r="K66" s="1161"/>
      <c r="L66" s="1637"/>
      <c r="M66" s="1637"/>
      <c r="N66" s="1161"/>
      <c r="O66" s="1161"/>
      <c r="P66" s="1161"/>
      <c r="Q66" s="1161"/>
      <c r="R66" s="1637"/>
      <c r="S66" s="1161"/>
      <c r="T66" s="1161"/>
      <c r="U66" s="545"/>
      <c r="V66" s="1161"/>
      <c r="W66" s="1161"/>
      <c r="X66" s="1161"/>
      <c r="Y66" s="1161"/>
      <c r="Z66" s="1161"/>
      <c r="AA66" s="1633"/>
      <c r="AB66" s="567"/>
      <c r="AC66" s="567"/>
      <c r="AD66" s="567"/>
      <c r="AE66" s="567"/>
      <c r="AF66" s="1642">
        <v>11</v>
      </c>
    </row>
    <row s="1642" customFormat="1" customHeight="1" ht="11.549999999999999">
      <c r="A67" s="988"/>
      <c r="B67" s="1637"/>
      <c r="C67" s="1637"/>
      <c r="D67" s="352"/>
      <c r="K67" s="1161"/>
      <c r="L67" s="1637"/>
      <c r="M67" s="1637"/>
      <c r="N67" s="1161"/>
      <c r="O67" s="1161"/>
      <c r="P67" s="1161"/>
      <c r="Q67" s="1161"/>
      <c r="R67" s="1637"/>
      <c r="S67" s="1161"/>
      <c r="T67" s="1161"/>
      <c r="U67" s="545"/>
      <c r="V67" s="1161"/>
      <c r="W67" s="1161"/>
      <c r="X67" s="1161"/>
      <c r="Y67" s="1161"/>
      <c r="Z67" s="1161"/>
      <c r="AA67" s="1633"/>
      <c r="AB67" s="567"/>
      <c r="AC67" s="567"/>
      <c r="AD67" s="567"/>
      <c r="AE67" s="567"/>
      <c r="AF67" s="1642">
        <v>11</v>
      </c>
    </row>
    <row s="1642" customFormat="1" customHeight="1" ht="11.549999999999999">
      <c r="A68" s="988"/>
      <c r="B68" s="1637"/>
      <c r="C68" s="1637"/>
      <c r="D68" s="352"/>
      <c r="K68" s="1161"/>
      <c r="L68" s="1637"/>
      <c r="M68" s="1637"/>
      <c r="N68" s="1161"/>
      <c r="O68" s="1161"/>
      <c r="P68" s="1161"/>
      <c r="Q68" s="1161"/>
      <c r="R68" s="1637"/>
      <c r="S68" s="1161"/>
      <c r="T68" s="1161"/>
      <c r="U68" s="545"/>
      <c r="V68" s="1161"/>
      <c r="W68" s="1161"/>
      <c r="X68" s="1161"/>
      <c r="Y68" s="1161"/>
      <c r="Z68" s="1161"/>
      <c r="AA68" s="1633"/>
      <c r="AB68" s="567"/>
      <c r="AC68" s="567"/>
      <c r="AD68" s="567"/>
      <c r="AE68" s="567"/>
      <c r="AF68" s="1642">
        <v>11</v>
      </c>
    </row>
    <row s="1642" customFormat="1" customHeight="1" ht="11.549999999999999">
      <c r="A69" s="988"/>
      <c r="B69" s="1637"/>
      <c r="C69" s="1637"/>
      <c r="D69" s="352"/>
      <c r="K69" s="1161"/>
      <c r="L69" s="1637"/>
      <c r="M69" s="1637"/>
      <c r="N69" s="1161"/>
      <c r="O69" s="1161"/>
      <c r="P69" s="1161"/>
      <c r="Q69" s="1161"/>
      <c r="R69" s="1637"/>
      <c r="S69" s="1161"/>
      <c r="T69" s="1161"/>
      <c r="U69" s="545"/>
      <c r="V69" s="1161"/>
      <c r="W69" s="1161"/>
      <c r="X69" s="1161"/>
      <c r="Y69" s="1161"/>
      <c r="Z69" s="1161"/>
      <c r="AA69" s="1633"/>
      <c r="AB69" s="567"/>
      <c r="AC69" s="567"/>
      <c r="AD69" s="567"/>
      <c r="AE69" s="567"/>
      <c r="AF69" s="1642">
        <v>11</v>
      </c>
    </row>
    <row s="1642" customFormat="1" customHeight="1" ht="11.549999999999999">
      <c r="A70" s="988"/>
      <c r="B70" s="1637"/>
      <c r="C70" s="1637"/>
      <c r="D70" s="352"/>
      <c r="K70" s="1161"/>
      <c r="L70" s="1637"/>
      <c r="M70" s="1637"/>
      <c r="N70" s="1161"/>
      <c r="O70" s="1161"/>
      <c r="P70" s="1161"/>
      <c r="Q70" s="1161"/>
      <c r="R70" s="1637"/>
      <c r="S70" s="1161"/>
      <c r="T70" s="1161"/>
      <c r="U70" s="545"/>
      <c r="V70" s="1161"/>
      <c r="W70" s="1161"/>
      <c r="X70" s="1161"/>
      <c r="Y70" s="1161"/>
      <c r="Z70" s="1161"/>
      <c r="AA70" s="1633"/>
      <c r="AB70" s="567"/>
      <c r="AC70" s="567"/>
      <c r="AD70" s="567"/>
      <c r="AE70" s="567"/>
      <c r="AF70" s="1642">
        <v>11</v>
      </c>
    </row>
    <row s="1642" customFormat="1" customHeight="1" ht="11.549999999999999">
      <c r="A71" s="988"/>
      <c r="B71" s="1637"/>
      <c r="C71" s="1637"/>
      <c r="D71" s="352"/>
      <c r="K71" s="1161"/>
      <c r="L71" s="1637"/>
      <c r="M71" s="1637"/>
      <c r="N71" s="1161"/>
      <c r="O71" s="1161"/>
      <c r="P71" s="1161"/>
      <c r="Q71" s="1161"/>
      <c r="R71" s="1637"/>
      <c r="S71" s="1161"/>
      <c r="T71" s="1161"/>
      <c r="U71" s="545"/>
      <c r="V71" s="1161"/>
      <c r="W71" s="1161"/>
      <c r="X71" s="1161"/>
      <c r="Y71" s="1161"/>
      <c r="Z71" s="1161"/>
      <c r="AA71" s="1633"/>
      <c r="AB71" s="567"/>
      <c r="AC71" s="567"/>
      <c r="AD71" s="567"/>
      <c r="AE71" s="567"/>
      <c r="AF71" s="1642">
        <v>11</v>
      </c>
    </row>
    <row s="1642" customFormat="1" customHeight="1" ht="11.549999999999999">
      <c r="A72" s="988"/>
      <c r="B72" s="1637"/>
      <c r="C72" s="1637"/>
      <c r="D72" s="352"/>
      <c r="K72" s="1161"/>
      <c r="L72" s="1637"/>
      <c r="M72" s="1637"/>
      <c r="N72" s="1161"/>
      <c r="O72" s="1161"/>
      <c r="P72" s="1161"/>
      <c r="Q72" s="1161"/>
      <c r="R72" s="1637"/>
      <c r="S72" s="1161"/>
      <c r="T72" s="1161"/>
      <c r="U72" s="545"/>
      <c r="V72" s="1161"/>
      <c r="W72" s="1161"/>
      <c r="X72" s="1161"/>
      <c r="Y72" s="1161"/>
      <c r="Z72" s="1161"/>
      <c r="AA72" s="1633"/>
      <c r="AB72" s="567"/>
      <c r="AC72" s="567"/>
      <c r="AD72" s="567"/>
      <c r="AE72" s="567"/>
      <c r="AF72" s="1642">
        <v>11</v>
      </c>
    </row>
    <row s="1642" customFormat="1" customHeight="1" ht="11.549999999999999">
      <c r="A73" s="988"/>
      <c r="B73" s="1637"/>
      <c r="C73" s="1637"/>
      <c r="D73" s="352"/>
      <c r="K73" s="1161"/>
      <c r="L73" s="1637"/>
      <c r="M73" s="1637"/>
      <c r="N73" s="1161"/>
      <c r="O73" s="1161"/>
      <c r="P73" s="1161"/>
      <c r="Q73" s="1161"/>
      <c r="R73" s="1637"/>
      <c r="S73" s="1161"/>
      <c r="T73" s="1161"/>
      <c r="U73" s="545"/>
      <c r="V73" s="1161"/>
      <c r="W73" s="1161"/>
      <c r="X73" s="1161"/>
      <c r="Y73" s="1161"/>
      <c r="Z73" s="1161"/>
      <c r="AA73" s="1633"/>
      <c r="AB73" s="567"/>
      <c r="AC73" s="567"/>
      <c r="AD73" s="567"/>
      <c r="AE73" s="567"/>
      <c r="AF73" s="1642">
        <v>11</v>
      </c>
    </row>
    <row s="1642" customFormat="1" customHeight="1" ht="11.549999999999999">
      <c r="A74" s="988"/>
      <c r="B74" s="1637"/>
      <c r="C74" s="1637"/>
      <c r="D74" s="352"/>
      <c r="K74" s="1161"/>
      <c r="L74" s="1637"/>
      <c r="M74" s="1637"/>
      <c r="N74" s="1161"/>
      <c r="O74" s="1161"/>
      <c r="P74" s="1161"/>
      <c r="Q74" s="1161"/>
      <c r="R74" s="1637"/>
      <c r="S74" s="1161"/>
      <c r="T74" s="1161"/>
      <c r="U74" s="545"/>
      <c r="V74" s="1161"/>
      <c r="W74" s="1161"/>
      <c r="X74" s="1161"/>
      <c r="Y74" s="1161"/>
      <c r="Z74" s="1161"/>
      <c r="AA74" s="1633"/>
      <c r="AB74" s="567"/>
      <c r="AC74" s="567"/>
      <c r="AD74" s="567"/>
      <c r="AE74" s="567"/>
      <c r="AF74" s="1642">
        <v>11</v>
      </c>
    </row>
    <row s="1642" customFormat="1" customHeight="1" ht="11.549999999999999">
      <c r="A75" s="988"/>
      <c r="B75" s="1637"/>
      <c r="C75" s="1637"/>
      <c r="D75" s="352"/>
      <c r="K75" s="1161"/>
      <c r="L75" s="1637"/>
      <c r="M75" s="1637"/>
      <c r="N75" s="1161"/>
      <c r="O75" s="1161"/>
      <c r="P75" s="1161"/>
      <c r="Q75" s="1161"/>
      <c r="R75" s="1637"/>
      <c r="S75" s="1161"/>
      <c r="T75" s="1161"/>
      <c r="U75" s="545"/>
      <c r="V75" s="1161"/>
      <c r="W75" s="1161"/>
      <c r="X75" s="1161"/>
      <c r="Y75" s="1161"/>
      <c r="Z75" s="1161"/>
      <c r="AA75" s="1633"/>
      <c r="AB75" s="567"/>
      <c r="AC75" s="567"/>
      <c r="AD75" s="567"/>
      <c r="AE75" s="567"/>
      <c r="AF75" s="1642">
        <v>11</v>
      </c>
    </row>
    <row s="1642" customFormat="1" customHeight="1" ht="11.549999999999999">
      <c r="A76" s="988"/>
      <c r="B76" s="1637"/>
      <c r="C76" s="1637"/>
      <c r="D76" s="352"/>
      <c r="K76" s="1161"/>
      <c r="L76" s="1637"/>
      <c r="M76" s="1637"/>
      <c r="N76" s="1161"/>
      <c r="O76" s="1161"/>
      <c r="P76" s="1161"/>
      <c r="Q76" s="1161"/>
      <c r="R76" s="1637"/>
      <c r="S76" s="1161"/>
      <c r="T76" s="1161"/>
      <c r="U76" s="545"/>
      <c r="V76" s="1161"/>
      <c r="W76" s="1161"/>
      <c r="X76" s="1161"/>
      <c r="Y76" s="1161"/>
      <c r="Z76" s="1161"/>
      <c r="AA76" s="1633"/>
      <c r="AB76" s="567"/>
      <c r="AC76" s="567"/>
      <c r="AD76" s="567"/>
      <c r="AE76" s="567"/>
      <c r="AF76" s="1642">
        <v>11</v>
      </c>
    </row>
    <row s="1642" customFormat="1" customHeight="1" ht="11.549999999999999">
      <c r="A77" s="988"/>
      <c r="B77" s="1637"/>
      <c r="C77" s="1637"/>
      <c r="D77" s="352"/>
      <c r="K77" s="1161"/>
      <c r="L77" s="1637"/>
      <c r="M77" s="1637"/>
      <c r="N77" s="1161"/>
      <c r="O77" s="1161"/>
      <c r="P77" s="1161"/>
      <c r="Q77" s="1161"/>
      <c r="R77" s="1637"/>
      <c r="S77" s="1161"/>
      <c r="T77" s="1161"/>
      <c r="U77" s="545"/>
      <c r="V77" s="1161"/>
      <c r="W77" s="1161"/>
      <c r="X77" s="1161"/>
      <c r="Y77" s="1161"/>
      <c r="Z77" s="1161"/>
      <c r="AA77" s="1633"/>
      <c r="AB77" s="567"/>
      <c r="AC77" s="567"/>
      <c r="AD77" s="567"/>
      <c r="AE77" s="567"/>
      <c r="AF77" s="1642">
        <v>11</v>
      </c>
    </row>
    <row s="1642" customFormat="1" customHeight="1" ht="11.549999999999999">
      <c r="A78" s="988"/>
      <c r="B78" s="1637"/>
      <c r="C78" s="1637"/>
      <c r="D78" s="352"/>
      <c r="K78" s="1161"/>
      <c r="L78" s="1637"/>
      <c r="M78" s="1637"/>
      <c r="N78" s="1161"/>
      <c r="O78" s="1161"/>
      <c r="P78" s="1161"/>
      <c r="Q78" s="1161"/>
      <c r="R78" s="1637"/>
      <c r="S78" s="1161"/>
      <c r="T78" s="1161"/>
      <c r="U78" s="545"/>
      <c r="V78" s="1161"/>
      <c r="W78" s="1161"/>
      <c r="X78" s="1161"/>
      <c r="Y78" s="1161"/>
      <c r="Z78" s="1161"/>
      <c r="AA78" s="1633"/>
      <c r="AB78" s="567"/>
      <c r="AC78" s="567"/>
      <c r="AD78" s="567"/>
      <c r="AE78" s="567"/>
      <c r="AF78" s="1642">
        <v>11</v>
      </c>
    </row>
    <row s="1642" customFormat="1" customHeight="1" ht="11.549999999999999">
      <c r="A79" s="988"/>
      <c r="B79" s="1637"/>
      <c r="C79" s="1637"/>
      <c r="D79" s="352"/>
      <c r="K79" s="1161"/>
      <c r="L79" s="1637"/>
      <c r="M79" s="1637"/>
      <c r="N79" s="1161"/>
      <c r="O79" s="1161"/>
      <c r="P79" s="1161"/>
      <c r="Q79" s="1161"/>
      <c r="R79" s="1637"/>
      <c r="S79" s="1161"/>
      <c r="T79" s="1161"/>
      <c r="U79" s="545"/>
      <c r="V79" s="1161"/>
      <c r="W79" s="1161"/>
      <c r="X79" s="1161"/>
      <c r="Y79" s="1161"/>
      <c r="Z79" s="1161"/>
      <c r="AA79" s="1633"/>
      <c r="AB79" s="567"/>
      <c r="AC79" s="567"/>
      <c r="AD79" s="567"/>
      <c r="AE79" s="567"/>
      <c r="AF79" s="1642">
        <v>11</v>
      </c>
    </row>
    <row s="1642" customFormat="1" customHeight="1" ht="11.549999999999999">
      <c r="A80" s="988"/>
      <c r="B80" s="1637"/>
      <c r="C80" s="1637"/>
      <c r="D80" s="352"/>
      <c r="K80" s="1161"/>
      <c r="L80" s="1637"/>
      <c r="M80" s="1637"/>
      <c r="N80" s="1161"/>
      <c r="O80" s="1161"/>
      <c r="P80" s="1161"/>
      <c r="Q80" s="1161"/>
      <c r="R80" s="1637"/>
      <c r="S80" s="1161"/>
      <c r="T80" s="1161"/>
      <c r="U80" s="545"/>
      <c r="V80" s="1161"/>
      <c r="W80" s="1161"/>
      <c r="X80" s="1161"/>
      <c r="Y80" s="1161"/>
      <c r="Z80" s="1161"/>
      <c r="AA80" s="1633"/>
      <c r="AB80" s="567"/>
      <c r="AC80" s="567"/>
      <c r="AD80" s="567"/>
      <c r="AE80" s="567"/>
      <c r="AF80" s="1642">
        <v>11</v>
      </c>
    </row>
    <row s="1642" customFormat="1" customHeight="1" ht="11.549999999999999">
      <c r="A81" s="988"/>
      <c r="B81" s="1637"/>
      <c r="C81" s="1637"/>
      <c r="D81" s="352"/>
      <c r="K81" s="1161"/>
      <c r="L81" s="1637"/>
      <c r="M81" s="1637"/>
      <c r="N81" s="1161"/>
      <c r="O81" s="1161"/>
      <c r="P81" s="1161"/>
      <c r="Q81" s="1161"/>
      <c r="R81" s="1637"/>
      <c r="S81" s="1161"/>
      <c r="T81" s="1161"/>
      <c r="U81" s="545"/>
      <c r="V81" s="1161"/>
      <c r="W81" s="1161"/>
      <c r="X81" s="1161"/>
      <c r="Y81" s="1161"/>
      <c r="Z81" s="1161"/>
      <c r="AA81" s="1633"/>
      <c r="AB81" s="567"/>
      <c r="AC81" s="567"/>
      <c r="AD81" s="567"/>
      <c r="AE81" s="567"/>
      <c r="AF81" s="1642">
        <v>11</v>
      </c>
    </row>
    <row s="1642" customFormat="1" customHeight="1" ht="11.549999999999999">
      <c r="A82" s="988"/>
      <c r="B82" s="1637"/>
      <c r="C82" s="1637"/>
      <c r="D82" s="352"/>
      <c r="K82" s="1161"/>
      <c r="L82" s="1637"/>
      <c r="M82" s="1637"/>
      <c r="N82" s="1161"/>
      <c r="O82" s="1161"/>
      <c r="P82" s="1161"/>
      <c r="Q82" s="1161"/>
      <c r="R82" s="1637"/>
      <c r="S82" s="1161"/>
      <c r="T82" s="1161"/>
      <c r="U82" s="545"/>
      <c r="V82" s="1161"/>
      <c r="W82" s="1161"/>
      <c r="X82" s="1161"/>
      <c r="Y82" s="1161"/>
      <c r="Z82" s="1161"/>
      <c r="AA82" s="1633"/>
      <c r="AB82" s="567"/>
      <c r="AC82" s="567"/>
      <c r="AD82" s="567"/>
      <c r="AE82" s="567"/>
      <c r="AF82" s="1642">
        <v>11</v>
      </c>
    </row>
    <row s="1642" customFormat="1" customHeight="1" ht="11.549999999999999">
      <c r="A83" s="988"/>
      <c r="B83" s="1637"/>
      <c r="C83" s="1637"/>
      <c r="D83" s="352"/>
      <c r="K83" s="1161"/>
      <c r="L83" s="1637"/>
      <c r="M83" s="1637"/>
      <c r="N83" s="1161"/>
      <c r="O83" s="1161"/>
      <c r="P83" s="1161"/>
      <c r="Q83" s="1161"/>
      <c r="R83" s="1637"/>
      <c r="S83" s="1161"/>
      <c r="T83" s="1161"/>
      <c r="U83" s="545"/>
      <c r="V83" s="1161"/>
      <c r="W83" s="1161"/>
      <c r="X83" s="1161"/>
      <c r="Y83" s="1161"/>
      <c r="Z83" s="1161"/>
      <c r="AA83" s="1633"/>
      <c r="AB83" s="567"/>
      <c r="AC83" s="567"/>
      <c r="AD83" s="567"/>
      <c r="AE83" s="567"/>
      <c r="AF83" s="1642">
        <v>11</v>
      </c>
    </row>
    <row s="1642" customFormat="1" customHeight="1" ht="11.549999999999999">
      <c r="A84" s="988"/>
      <c r="B84" s="1637"/>
      <c r="C84" s="1637"/>
      <c r="D84" s="352"/>
      <c r="K84" s="1161"/>
      <c r="L84" s="1637"/>
      <c r="M84" s="1637"/>
      <c r="N84" s="1161"/>
      <c r="O84" s="1161"/>
      <c r="P84" s="1161"/>
      <c r="Q84" s="1161"/>
      <c r="R84" s="1637"/>
      <c r="S84" s="1161"/>
      <c r="T84" s="1161"/>
      <c r="U84" s="545"/>
      <c r="V84" s="1161"/>
      <c r="W84" s="1161"/>
      <c r="X84" s="1161"/>
      <c r="Y84" s="1161"/>
      <c r="Z84" s="1161"/>
      <c r="AA84" s="1633"/>
      <c r="AB84" s="567"/>
      <c r="AC84" s="567"/>
      <c r="AD84" s="567"/>
      <c r="AE84" s="567"/>
      <c r="AF84" s="1642">
        <v>11</v>
      </c>
    </row>
    <row s="1642" customFormat="1" customHeight="1" ht="11.549999999999999">
      <c r="A85" s="988"/>
      <c r="B85" s="1637"/>
      <c r="C85" s="1637"/>
      <c r="D85" s="352"/>
      <c r="K85" s="1161"/>
      <c r="L85" s="1637"/>
      <c r="M85" s="1637"/>
      <c r="N85" s="1161"/>
      <c r="O85" s="1161"/>
      <c r="P85" s="1161"/>
      <c r="Q85" s="1161"/>
      <c r="R85" s="1637"/>
      <c r="S85" s="1161"/>
      <c r="T85" s="1161"/>
      <c r="U85" s="545"/>
      <c r="V85" s="1161"/>
      <c r="W85" s="1161"/>
      <c r="X85" s="1161"/>
      <c r="Y85" s="1161"/>
      <c r="Z85" s="1161"/>
      <c r="AA85" s="1633"/>
      <c r="AB85" s="567"/>
      <c r="AC85" s="567"/>
      <c r="AD85" s="567"/>
      <c r="AE85" s="567"/>
      <c r="AF85" s="1642">
        <v>11</v>
      </c>
    </row>
    <row s="1642" customFormat="1" customHeight="1" ht="11.549999999999999">
      <c r="A86" s="988"/>
      <c r="B86" s="1637"/>
      <c r="C86" s="1637"/>
      <c r="D86" s="352"/>
      <c r="K86" s="1161"/>
      <c r="L86" s="1637"/>
      <c r="M86" s="1637"/>
      <c r="N86" s="1161"/>
      <c r="O86" s="1161"/>
      <c r="P86" s="1161"/>
      <c r="Q86" s="1161"/>
      <c r="R86" s="1637"/>
      <c r="S86" s="1161"/>
      <c r="T86" s="1161"/>
      <c r="U86" s="545"/>
      <c r="V86" s="1161"/>
      <c r="W86" s="1161"/>
      <c r="X86" s="1161"/>
      <c r="Y86" s="1161"/>
      <c r="Z86" s="1161"/>
      <c r="AA86" s="1633"/>
      <c r="AB86" s="567"/>
      <c r="AC86" s="567"/>
      <c r="AD86" s="567"/>
      <c r="AE86" s="567"/>
      <c r="AF86" s="1642">
        <v>11</v>
      </c>
    </row>
    <row s="1642" customFormat="1" customHeight="1" ht="11.549999999999999">
      <c r="A87" s="988"/>
      <c r="B87" s="1637"/>
      <c r="C87" s="1637"/>
      <c r="D87" s="352"/>
      <c r="K87" s="1161"/>
      <c r="L87" s="1637"/>
      <c r="M87" s="1637"/>
      <c r="N87" s="1161"/>
      <c r="O87" s="1161"/>
      <c r="P87" s="1161"/>
      <c r="Q87" s="1161"/>
      <c r="R87" s="1637"/>
      <c r="S87" s="1161"/>
      <c r="T87" s="1161"/>
      <c r="U87" s="545"/>
      <c r="V87" s="1161"/>
      <c r="W87" s="1161"/>
      <c r="X87" s="1161"/>
      <c r="Y87" s="1161"/>
      <c r="Z87" s="1161"/>
      <c r="AA87" s="1633"/>
      <c r="AB87" s="567"/>
      <c r="AC87" s="567"/>
      <c r="AD87" s="567"/>
      <c r="AE87" s="567"/>
      <c r="AF87" s="1642">
        <v>11</v>
      </c>
    </row>
    <row s="1642" customFormat="1" customHeight="1" ht="11.549999999999999">
      <c r="A88" s="988"/>
      <c r="B88" s="1637"/>
      <c r="C88" s="1637"/>
      <c r="D88" s="352"/>
      <c r="K88" s="1161"/>
      <c r="L88" s="1637"/>
      <c r="M88" s="1637"/>
      <c r="N88" s="1161"/>
      <c r="O88" s="1161"/>
      <c r="P88" s="1161"/>
      <c r="Q88" s="1161"/>
      <c r="R88" s="1637"/>
      <c r="S88" s="1161"/>
      <c r="T88" s="1161"/>
      <c r="U88" s="545"/>
      <c r="V88" s="1161"/>
      <c r="W88" s="1161"/>
      <c r="X88" s="1161"/>
      <c r="Y88" s="1161"/>
      <c r="Z88" s="1161"/>
      <c r="AA88" s="1633"/>
      <c r="AB88" s="567"/>
      <c r="AC88" s="567"/>
      <c r="AD88" s="567"/>
      <c r="AE88" s="567"/>
      <c r="AF88" s="1642">
        <v>11</v>
      </c>
    </row>
    <row s="1642" customFormat="1" customHeight="1" ht="11.549999999999999">
      <c r="A89" s="988"/>
      <c r="B89" s="1637"/>
      <c r="C89" s="1637"/>
      <c r="D89" s="352"/>
      <c r="K89" s="1161"/>
      <c r="L89" s="1637"/>
      <c r="M89" s="1637"/>
      <c r="N89" s="1161"/>
      <c r="O89" s="1161"/>
      <c r="P89" s="1161"/>
      <c r="Q89" s="1161"/>
      <c r="R89" s="1637"/>
      <c r="S89" s="1161"/>
      <c r="T89" s="1161"/>
      <c r="U89" s="545"/>
      <c r="V89" s="1161"/>
      <c r="W89" s="1161"/>
      <c r="X89" s="1161"/>
      <c r="Y89" s="1161"/>
      <c r="Z89" s="1161"/>
      <c r="AA89" s="1633"/>
      <c r="AB89" s="567"/>
      <c r="AC89" s="567"/>
      <c r="AD89" s="567"/>
      <c r="AE89" s="567"/>
      <c r="AF89" s="1642">
        <v>11</v>
      </c>
    </row>
    <row s="1642" customFormat="1" customHeight="1" ht="11.549999999999999">
      <c r="A90" s="988"/>
      <c r="B90" s="1637"/>
      <c r="C90" s="1637"/>
      <c r="D90" s="352"/>
      <c r="K90" s="1161"/>
      <c r="L90" s="1637"/>
      <c r="M90" s="1637"/>
      <c r="N90" s="1161"/>
      <c r="O90" s="1161"/>
      <c r="P90" s="1161"/>
      <c r="Q90" s="1161"/>
      <c r="R90" s="1637"/>
      <c r="S90" s="1161"/>
      <c r="T90" s="1161"/>
      <c r="U90" s="545"/>
      <c r="V90" s="1161"/>
      <c r="W90" s="1161"/>
      <c r="X90" s="1161"/>
      <c r="Y90" s="1161"/>
      <c r="Z90" s="1161"/>
      <c r="AA90" s="1633"/>
      <c r="AB90" s="567"/>
      <c r="AC90" s="567"/>
      <c r="AD90" s="567"/>
      <c r="AE90" s="567"/>
      <c r="AF90" s="1642">
        <v>11</v>
      </c>
    </row>
    <row s="1642" customFormat="1" customHeight="1" ht="11.549999999999999">
      <c r="A91" s="988"/>
      <c r="B91" s="1637"/>
      <c r="C91" s="1637"/>
      <c r="D91" s="352"/>
      <c r="K91" s="1161"/>
      <c r="L91" s="1637"/>
      <c r="M91" s="1637"/>
      <c r="N91" s="1161"/>
      <c r="O91" s="1161"/>
      <c r="P91" s="1161"/>
      <c r="Q91" s="1161"/>
      <c r="R91" s="1637"/>
      <c r="S91" s="1161"/>
      <c r="T91" s="1161"/>
      <c r="U91" s="545"/>
      <c r="V91" s="1161"/>
      <c r="W91" s="1161"/>
      <c r="X91" s="1161"/>
      <c r="Y91" s="1161"/>
      <c r="Z91" s="1161"/>
      <c r="AA91" s="1633"/>
      <c r="AB91" s="567"/>
      <c r="AC91" s="567"/>
      <c r="AD91" s="567"/>
      <c r="AE91" s="567"/>
      <c r="AF91" s="1642">
        <v>11</v>
      </c>
    </row>
    <row s="1642" customFormat="1" customHeight="1" ht="11.549999999999999">
      <c r="A92" s="988"/>
      <c r="B92" s="1637"/>
      <c r="C92" s="1637"/>
      <c r="D92" s="352"/>
      <c r="K92" s="1161"/>
      <c r="L92" s="1637"/>
      <c r="M92" s="1637"/>
      <c r="N92" s="1161"/>
      <c r="O92" s="1161"/>
      <c r="P92" s="1161"/>
      <c r="Q92" s="1161"/>
      <c r="R92" s="1637"/>
      <c r="S92" s="1161"/>
      <c r="T92" s="1161"/>
      <c r="U92" s="545"/>
      <c r="V92" s="1161"/>
      <c r="W92" s="1161"/>
      <c r="X92" s="1161"/>
      <c r="Y92" s="1161"/>
      <c r="Z92" s="1161"/>
      <c r="AA92" s="1633"/>
      <c r="AB92" s="567"/>
      <c r="AC92" s="567"/>
      <c r="AD92" s="567"/>
      <c r="AE92" s="567"/>
      <c r="AF92" s="1642">
        <v>11</v>
      </c>
    </row>
    <row s="1642" customFormat="1" customHeight="1" ht="11.549999999999999">
      <c r="A93" s="988"/>
      <c r="B93" s="1637"/>
      <c r="C93" s="1637"/>
      <c r="D93" s="352"/>
      <c r="K93" s="1161"/>
      <c r="L93" s="1637"/>
      <c r="M93" s="1637"/>
      <c r="N93" s="1161"/>
      <c r="O93" s="1161"/>
      <c r="P93" s="1161"/>
      <c r="Q93" s="1161"/>
      <c r="R93" s="1637"/>
      <c r="S93" s="1161"/>
      <c r="T93" s="1161"/>
      <c r="U93" s="545"/>
      <c r="V93" s="1161"/>
      <c r="W93" s="1161"/>
      <c r="X93" s="1161"/>
      <c r="Y93" s="1161"/>
      <c r="Z93" s="1161"/>
      <c r="AA93" s="1633"/>
      <c r="AB93" s="567"/>
      <c r="AC93" s="567"/>
      <c r="AD93" s="567"/>
      <c r="AE93" s="567"/>
      <c r="AF93" s="1642">
        <v>11</v>
      </c>
    </row>
    <row s="1642" customFormat="1" customHeight="1" ht="11.549999999999999">
      <c r="A94" s="988"/>
      <c r="B94" s="1637"/>
      <c r="C94" s="1637"/>
      <c r="D94" s="352"/>
      <c r="K94" s="1161"/>
      <c r="L94" s="1637"/>
      <c r="M94" s="1637"/>
      <c r="N94" s="1161"/>
      <c r="O94" s="1161"/>
      <c r="P94" s="1161"/>
      <c r="Q94" s="1161"/>
      <c r="R94" s="1637"/>
      <c r="S94" s="1161"/>
      <c r="T94" s="1161"/>
      <c r="U94" s="545"/>
      <c r="V94" s="1161"/>
      <c r="W94" s="1161"/>
      <c r="X94" s="1161"/>
      <c r="Y94" s="1161"/>
      <c r="Z94" s="1161"/>
      <c r="AA94" s="1633"/>
      <c r="AB94" s="567"/>
      <c r="AC94" s="567"/>
      <c r="AD94" s="567"/>
      <c r="AE94" s="567"/>
      <c r="AF94" s="1642">
        <v>11</v>
      </c>
    </row>
    <row s="1642" customFormat="1" customHeight="1" ht="11.549999999999999">
      <c r="A95" s="988"/>
      <c r="B95" s="1637"/>
      <c r="C95" s="1637"/>
      <c r="D95" s="352"/>
      <c r="K95" s="1161"/>
      <c r="L95" s="1637"/>
      <c r="M95" s="1637"/>
      <c r="N95" s="1161"/>
      <c r="O95" s="1161"/>
      <c r="P95" s="1161"/>
      <c r="Q95" s="1161"/>
      <c r="R95" s="1637"/>
      <c r="S95" s="1161"/>
      <c r="T95" s="1161"/>
      <c r="U95" s="545"/>
      <c r="V95" s="1161"/>
      <c r="W95" s="1161"/>
      <c r="X95" s="1161"/>
      <c r="Y95" s="1161"/>
      <c r="Z95" s="1161"/>
      <c r="AA95" s="1633"/>
      <c r="AB95" s="567"/>
      <c r="AC95" s="567"/>
      <c r="AD95" s="567"/>
      <c r="AE95" s="567"/>
      <c r="AF95" s="1642">
        <v>11</v>
      </c>
    </row>
    <row s="1642" customFormat="1" customHeight="1" ht="11.549999999999999">
      <c r="A96" s="988"/>
      <c r="B96" s="1637"/>
      <c r="C96" s="1637"/>
      <c r="D96" s="352"/>
      <c r="K96" s="1161"/>
      <c r="L96" s="1637"/>
      <c r="M96" s="1637"/>
      <c r="N96" s="1161"/>
      <c r="O96" s="1161"/>
      <c r="P96" s="1161"/>
      <c r="Q96" s="1161"/>
      <c r="R96" s="1637"/>
      <c r="S96" s="1161"/>
      <c r="T96" s="1161"/>
      <c r="U96" s="545"/>
      <c r="V96" s="1161"/>
      <c r="W96" s="1161"/>
      <c r="X96" s="1161"/>
      <c r="Y96" s="1161"/>
      <c r="Z96" s="1161"/>
      <c r="AA96" s="1633"/>
      <c r="AB96" s="567"/>
      <c r="AC96" s="567"/>
      <c r="AD96" s="567"/>
      <c r="AE96" s="567"/>
      <c r="AF96" s="1642">
        <v>11</v>
      </c>
    </row>
    <row s="1642" customFormat="1" customHeight="1" ht="11.549999999999999">
      <c r="A97" s="988"/>
      <c r="B97" s="1637"/>
      <c r="C97" s="1637"/>
      <c r="D97" s="352"/>
      <c r="K97" s="1161"/>
      <c r="L97" s="1637"/>
      <c r="M97" s="1637"/>
      <c r="N97" s="1161"/>
      <c r="O97" s="1161"/>
      <c r="P97" s="1161"/>
      <c r="Q97" s="1161"/>
      <c r="R97" s="1637"/>
      <c r="S97" s="1161"/>
      <c r="T97" s="1161"/>
      <c r="U97" s="545"/>
      <c r="V97" s="1161"/>
      <c r="W97" s="1161"/>
      <c r="X97" s="1161"/>
      <c r="Y97" s="1161"/>
      <c r="Z97" s="1161"/>
      <c r="AA97" s="1633"/>
      <c r="AB97" s="567"/>
      <c r="AC97" s="567"/>
      <c r="AD97" s="567"/>
      <c r="AE97" s="567"/>
      <c r="AF97" s="1642">
        <v>11</v>
      </c>
    </row>
    <row s="1642" customFormat="1" customHeight="1" ht="11.549999999999999">
      <c r="A98" s="988"/>
      <c r="B98" s="1637"/>
      <c r="C98" s="1637"/>
      <c r="D98" s="352"/>
      <c r="K98" s="1161"/>
      <c r="L98" s="1637"/>
      <c r="M98" s="1637"/>
      <c r="N98" s="1161"/>
      <c r="O98" s="1161"/>
      <c r="P98" s="1161"/>
      <c r="Q98" s="1161"/>
      <c r="R98" s="1637"/>
      <c r="S98" s="1161"/>
      <c r="T98" s="1161"/>
      <c r="U98" s="545"/>
      <c r="V98" s="1161"/>
      <c r="W98" s="1161"/>
      <c r="X98" s="1161"/>
      <c r="Y98" s="1161"/>
      <c r="Z98" s="1161"/>
      <c r="AA98" s="1633"/>
      <c r="AB98" s="567"/>
      <c r="AC98" s="567"/>
      <c r="AD98" s="567"/>
      <c r="AE98" s="567"/>
      <c r="AF98" s="1642">
        <v>11</v>
      </c>
    </row>
    <row s="1642" customFormat="1" customHeight="1" ht="11.549999999999999">
      <c r="A99" s="988"/>
      <c r="B99" s="1637"/>
      <c r="C99" s="1637"/>
      <c r="D99" s="352"/>
      <c r="K99" s="1161"/>
      <c r="L99" s="1637"/>
      <c r="M99" s="1637"/>
      <c r="N99" s="1161"/>
      <c r="O99" s="1161"/>
      <c r="P99" s="1161"/>
      <c r="Q99" s="1161"/>
      <c r="R99" s="1637"/>
      <c r="S99" s="1161"/>
      <c r="T99" s="1161"/>
      <c r="U99" s="545"/>
      <c r="V99" s="1161"/>
      <c r="W99" s="1161"/>
      <c r="X99" s="1161"/>
      <c r="Y99" s="1161"/>
      <c r="Z99" s="1161"/>
      <c r="AA99" s="1633"/>
      <c r="AB99" s="567"/>
      <c r="AC99" s="567"/>
      <c r="AD99" s="567"/>
      <c r="AE99" s="567"/>
      <c r="AF99" s="1642">
        <v>11</v>
      </c>
    </row>
    <row s="1642" customFormat="1" customHeight="1" ht="11.549999999999999">
      <c r="A100" s="988"/>
      <c r="B100" s="1637"/>
      <c r="C100" s="1637"/>
      <c r="D100" s="352"/>
      <c r="K100" s="1161"/>
      <c r="L100" s="1637"/>
      <c r="M100" s="1637"/>
      <c r="N100" s="1161"/>
      <c r="O100" s="1161"/>
      <c r="P100" s="1161"/>
      <c r="Q100" s="1161"/>
      <c r="R100" s="1637"/>
      <c r="S100" s="1161"/>
      <c r="T100" s="1161"/>
      <c r="U100" s="545"/>
      <c r="V100" s="1161"/>
      <c r="W100" s="1161"/>
      <c r="X100" s="1161"/>
      <c r="Y100" s="1161"/>
      <c r="Z100" s="1161"/>
      <c r="AA100" s="1633"/>
      <c r="AB100" s="567"/>
      <c r="AC100" s="567"/>
      <c r="AD100" s="567"/>
      <c r="AE100" s="567"/>
      <c r="AF100" s="1642">
        <v>11</v>
      </c>
    </row>
    <row s="1642" customFormat="1" customHeight="1" ht="11.549999999999999">
      <c r="A101" s="988"/>
      <c r="B101" s="1637"/>
      <c r="C101" s="1637"/>
      <c r="D101" s="352"/>
      <c r="K101" s="1161"/>
      <c r="L101" s="1637"/>
      <c r="M101" s="1637"/>
      <c r="N101" s="1161"/>
      <c r="O101" s="1161"/>
      <c r="P101" s="1161"/>
      <c r="Q101" s="1161"/>
      <c r="R101" s="1637"/>
      <c r="S101" s="1161"/>
      <c r="T101" s="1161"/>
      <c r="U101" s="545"/>
      <c r="V101" s="1161"/>
      <c r="W101" s="1161"/>
      <c r="X101" s="1161"/>
      <c r="Y101" s="1161"/>
      <c r="Z101" s="1161"/>
      <c r="AA101" s="1633"/>
      <c r="AB101" s="567"/>
      <c r="AC101" s="567"/>
      <c r="AD101" s="567"/>
      <c r="AE101" s="567"/>
      <c r="AF101" s="1642">
        <v>11</v>
      </c>
    </row>
    <row s="1642" customFormat="1" customHeight="1" ht="11.549999999999999">
      <c r="A102" s="988"/>
      <c r="B102" s="1637"/>
      <c r="C102" s="1637"/>
      <c r="D102" s="352"/>
      <c r="K102" s="1161"/>
      <c r="L102" s="1637"/>
      <c r="M102" s="1637"/>
      <c r="N102" s="1161"/>
      <c r="O102" s="1161"/>
      <c r="P102" s="1161"/>
      <c r="Q102" s="1161"/>
      <c r="R102" s="1637"/>
      <c r="S102" s="1161"/>
      <c r="T102" s="1161"/>
      <c r="U102" s="545"/>
      <c r="V102" s="1161"/>
      <c r="W102" s="1161"/>
      <c r="X102" s="1161"/>
      <c r="Y102" s="1161"/>
      <c r="Z102" s="1161"/>
      <c r="AA102" s="1633"/>
      <c r="AB102" s="567"/>
      <c r="AC102" s="567"/>
      <c r="AD102" s="567"/>
      <c r="AE102" s="567"/>
      <c r="AF102" s="1642">
        <v>11</v>
      </c>
    </row>
    <row s="1642" customFormat="1" customHeight="1" ht="11.549999999999999">
      <c r="A103" s="988"/>
      <c r="B103" s="1637"/>
      <c r="C103" s="1637"/>
      <c r="D103" s="352"/>
      <c r="K103" s="1161"/>
      <c r="L103" s="1637"/>
      <c r="M103" s="1637"/>
      <c r="N103" s="1161"/>
      <c r="O103" s="1161"/>
      <c r="P103" s="1161"/>
      <c r="Q103" s="1161"/>
      <c r="R103" s="1637"/>
      <c r="S103" s="1161"/>
      <c r="T103" s="1161"/>
      <c r="U103" s="545"/>
      <c r="V103" s="1161"/>
      <c r="W103" s="1161"/>
      <c r="X103" s="1161"/>
      <c r="Y103" s="1161"/>
      <c r="Z103" s="1161"/>
      <c r="AA103" s="1633"/>
      <c r="AB103" s="567"/>
      <c r="AC103" s="567"/>
      <c r="AD103" s="567"/>
      <c r="AE103" s="567"/>
      <c r="AF103" s="1642">
        <v>11</v>
      </c>
    </row>
    <row s="1642" customFormat="1" customHeight="1" ht="11.549999999999999">
      <c r="A104" s="988"/>
      <c r="B104" s="1637"/>
      <c r="C104" s="1637"/>
      <c r="D104" s="352"/>
      <c r="K104" s="1161"/>
      <c r="L104" s="1637"/>
      <c r="M104" s="1637"/>
      <c r="N104" s="1161"/>
      <c r="O104" s="1161"/>
      <c r="P104" s="1161"/>
      <c r="Q104" s="1161"/>
      <c r="R104" s="1637"/>
      <c r="S104" s="1161"/>
      <c r="T104" s="1161"/>
      <c r="U104" s="545"/>
      <c r="V104" s="1161"/>
      <c r="W104" s="1161"/>
      <c r="X104" s="1161"/>
      <c r="Y104" s="1161"/>
      <c r="Z104" s="1161"/>
      <c r="AA104" s="1633"/>
      <c r="AB104" s="567"/>
      <c r="AC104" s="567"/>
      <c r="AD104" s="567"/>
      <c r="AE104" s="567"/>
      <c r="AF104" s="1642">
        <v>11</v>
      </c>
    </row>
    <row s="1642" customFormat="1" customHeight="1" ht="11.549999999999999">
      <c r="A105" s="988"/>
      <c r="B105" s="1637"/>
      <c r="C105" s="1637"/>
      <c r="D105" s="352"/>
      <c r="K105" s="1161"/>
      <c r="L105" s="1637"/>
      <c r="M105" s="1637"/>
      <c r="N105" s="1161"/>
      <c r="O105" s="1161"/>
      <c r="P105" s="1161"/>
      <c r="Q105" s="1161"/>
      <c r="R105" s="1637"/>
      <c r="S105" s="1161"/>
      <c r="T105" s="1161"/>
      <c r="U105" s="545"/>
      <c r="V105" s="1161"/>
      <c r="W105" s="1161"/>
      <c r="X105" s="1161"/>
      <c r="Y105" s="1161"/>
      <c r="Z105" s="1161"/>
      <c r="AA105" s="1633"/>
      <c r="AB105" s="567"/>
      <c r="AC105" s="567"/>
      <c r="AD105" s="567"/>
      <c r="AE105" s="567"/>
      <c r="AF105" s="1642">
        <v>11</v>
      </c>
    </row>
    <row s="1642" customFormat="1" customHeight="1" ht="11.549999999999999">
      <c r="A106" s="988"/>
      <c r="B106" s="1637"/>
      <c r="C106" s="1637"/>
      <c r="D106" s="352"/>
      <c r="K106" s="1161"/>
      <c r="L106" s="1637"/>
      <c r="M106" s="1637"/>
      <c r="N106" s="1161"/>
      <c r="O106" s="1161"/>
      <c r="P106" s="1161"/>
      <c r="Q106" s="1161"/>
      <c r="R106" s="1637"/>
      <c r="S106" s="1161"/>
      <c r="T106" s="1161"/>
      <c r="U106" s="545"/>
      <c r="V106" s="1161"/>
      <c r="W106" s="1161"/>
      <c r="X106" s="1161"/>
      <c r="Y106" s="1161"/>
      <c r="Z106" s="1161"/>
      <c r="AA106" s="1633"/>
      <c r="AB106" s="567"/>
      <c r="AC106" s="567"/>
      <c r="AD106" s="567"/>
      <c r="AE106" s="567"/>
      <c r="AF106" s="1642">
        <v>11</v>
      </c>
    </row>
    <row s="1642" customFormat="1" customHeight="1" ht="11.549999999999999">
      <c r="A107" s="988"/>
      <c r="B107" s="1637"/>
      <c r="C107" s="1637"/>
      <c r="D107" s="352"/>
      <c r="K107" s="1161"/>
      <c r="L107" s="1637"/>
      <c r="M107" s="1637"/>
      <c r="N107" s="1161"/>
      <c r="O107" s="1161"/>
      <c r="P107" s="1161"/>
      <c r="Q107" s="1161"/>
      <c r="R107" s="1637"/>
      <c r="S107" s="1161"/>
      <c r="T107" s="1161"/>
      <c r="U107" s="545"/>
      <c r="V107" s="1161"/>
      <c r="W107" s="1161"/>
      <c r="X107" s="1161"/>
      <c r="Y107" s="1161"/>
      <c r="Z107" s="1161"/>
      <c r="AA107" s="1633"/>
      <c r="AB107" s="567"/>
      <c r="AC107" s="567"/>
      <c r="AD107" s="567"/>
      <c r="AE107" s="567"/>
      <c r="AF107" s="1642">
        <v>11</v>
      </c>
    </row>
    <row s="1642" customFormat="1" customHeight="1" ht="11.549999999999999">
      <c r="A108" s="988"/>
      <c r="B108" s="1637"/>
      <c r="C108" s="1637"/>
      <c r="D108" s="352"/>
      <c r="K108" s="1161"/>
      <c r="L108" s="1637"/>
      <c r="M108" s="1637"/>
      <c r="N108" s="1161"/>
      <c r="O108" s="1161"/>
      <c r="P108" s="1161"/>
      <c r="Q108" s="1161"/>
      <c r="R108" s="1637"/>
      <c r="S108" s="1161"/>
      <c r="T108" s="1161"/>
      <c r="U108" s="545"/>
      <c r="V108" s="1161"/>
      <c r="W108" s="1161"/>
      <c r="X108" s="1161"/>
      <c r="Y108" s="1161"/>
      <c r="Z108" s="1161"/>
      <c r="AA108" s="1633"/>
      <c r="AB108" s="567"/>
      <c r="AC108" s="567"/>
      <c r="AD108" s="567"/>
      <c r="AE108" s="567"/>
      <c r="AF108" s="1642">
        <v>11</v>
      </c>
    </row>
    <row s="1642" customFormat="1" customHeight="1" ht="11.549999999999999">
      <c r="A109" s="988"/>
      <c r="B109" s="1637"/>
      <c r="C109" s="1637"/>
      <c r="D109" s="352"/>
      <c r="K109" s="1161"/>
      <c r="L109" s="1637"/>
      <c r="M109" s="1637"/>
      <c r="N109" s="1161"/>
      <c r="O109" s="1161"/>
      <c r="P109" s="1161"/>
      <c r="Q109" s="1161"/>
      <c r="R109" s="1637"/>
      <c r="S109" s="1161"/>
      <c r="T109" s="1161"/>
      <c r="U109" s="545"/>
      <c r="V109" s="1161"/>
      <c r="W109" s="1161"/>
      <c r="X109" s="1161"/>
      <c r="Y109" s="1161"/>
      <c r="Z109" s="1161"/>
      <c r="AA109" s="1633"/>
      <c r="AB109" s="567"/>
      <c r="AC109" s="567"/>
      <c r="AD109" s="567"/>
      <c r="AE109" s="567"/>
      <c r="AF109" s="1642">
        <v>11</v>
      </c>
    </row>
    <row s="1642" customFormat="1" customHeight="1" ht="11.549999999999999">
      <c r="A110" s="988"/>
      <c r="B110" s="1637"/>
      <c r="C110" s="1637"/>
      <c r="D110" s="352"/>
      <c r="K110" s="1161"/>
      <c r="L110" s="1637"/>
      <c r="M110" s="1637"/>
      <c r="N110" s="1161"/>
      <c r="O110" s="1161"/>
      <c r="P110" s="1161"/>
      <c r="Q110" s="1161"/>
      <c r="R110" s="1637"/>
      <c r="S110" s="1161"/>
      <c r="T110" s="1161"/>
      <c r="U110" s="545"/>
      <c r="V110" s="1161"/>
      <c r="W110" s="1161"/>
      <c r="X110" s="1161"/>
      <c r="Y110" s="1161"/>
      <c r="Z110" s="1161"/>
      <c r="AA110" s="1633"/>
      <c r="AB110" s="567"/>
      <c r="AC110" s="567"/>
      <c r="AD110" s="567"/>
      <c r="AE110" s="567"/>
      <c r="AF110" s="1642">
        <v>11</v>
      </c>
    </row>
    <row s="1642" customFormat="1" customHeight="1" ht="11.549999999999999">
      <c r="A111" s="988"/>
      <c r="B111" s="1637"/>
      <c r="C111" s="1637"/>
      <c r="D111" s="352"/>
      <c r="K111" s="1161"/>
      <c r="L111" s="1637"/>
      <c r="M111" s="1637"/>
      <c r="N111" s="1161"/>
      <c r="O111" s="1161"/>
      <c r="P111" s="1161"/>
      <c r="Q111" s="1161"/>
      <c r="R111" s="1637"/>
      <c r="S111" s="1161"/>
      <c r="T111" s="1161"/>
      <c r="U111" s="545"/>
      <c r="V111" s="1161"/>
      <c r="W111" s="1161"/>
      <c r="X111" s="1161"/>
      <c r="Y111" s="1161"/>
      <c r="Z111" s="1161"/>
      <c r="AA111" s="1633"/>
      <c r="AB111" s="567"/>
      <c r="AC111" s="567"/>
      <c r="AD111" s="567"/>
      <c r="AE111" s="567"/>
      <c r="AF111" s="1642">
        <v>11</v>
      </c>
    </row>
    <row s="1642" customFormat="1" customHeight="1" ht="11.549999999999999">
      <c r="A112" s="988"/>
      <c r="B112" s="1637"/>
      <c r="C112" s="1637"/>
      <c r="D112" s="352"/>
      <c r="K112" s="1161"/>
      <c r="L112" s="1637"/>
      <c r="M112" s="1637"/>
      <c r="N112" s="1161"/>
      <c r="O112" s="1161"/>
      <c r="P112" s="1161"/>
      <c r="Q112" s="1161"/>
      <c r="R112" s="1637"/>
      <c r="S112" s="1161"/>
      <c r="T112" s="1161"/>
      <c r="U112" s="545"/>
      <c r="V112" s="1161"/>
      <c r="W112" s="1161"/>
      <c r="X112" s="1161"/>
      <c r="Y112" s="1161"/>
      <c r="Z112" s="1161"/>
      <c r="AA112" s="1633"/>
      <c r="AB112" s="567"/>
      <c r="AC112" s="567"/>
      <c r="AD112" s="567"/>
      <c r="AE112" s="567"/>
      <c r="AF112" s="1642">
        <v>11</v>
      </c>
    </row>
    <row s="1642" customFormat="1" customHeight="1" ht="11.549999999999999">
      <c r="A113" s="988"/>
      <c r="B113" s="1637"/>
      <c r="C113" s="1637"/>
      <c r="D113" s="352"/>
      <c r="K113" s="1161"/>
      <c r="L113" s="1637"/>
      <c r="M113" s="1637"/>
      <c r="N113" s="1161"/>
      <c r="O113" s="1161"/>
      <c r="P113" s="1161"/>
      <c r="Q113" s="1161"/>
      <c r="R113" s="1637"/>
      <c r="S113" s="1161"/>
      <c r="T113" s="1161"/>
      <c r="U113" s="545"/>
      <c r="V113" s="1161"/>
      <c r="W113" s="1161"/>
      <c r="X113" s="1161"/>
      <c r="Y113" s="1161"/>
      <c r="Z113" s="1161"/>
      <c r="AA113" s="1633"/>
      <c r="AB113" s="567"/>
      <c r="AC113" s="567"/>
      <c r="AD113" s="567"/>
      <c r="AE113" s="567"/>
      <c r="AF113" s="1642">
        <v>11</v>
      </c>
    </row>
    <row s="1642" customFormat="1" customHeight="1" ht="11.549999999999999">
      <c r="A114" s="988"/>
      <c r="B114" s="1637"/>
      <c r="C114" s="1637"/>
      <c r="D114" s="352"/>
      <c r="K114" s="1161"/>
      <c r="L114" s="1637"/>
      <c r="M114" s="1637"/>
      <c r="N114" s="1161"/>
      <c r="O114" s="1161"/>
      <c r="P114" s="1161"/>
      <c r="Q114" s="1161"/>
      <c r="R114" s="1637"/>
      <c r="S114" s="1161"/>
      <c r="T114" s="1161"/>
      <c r="U114" s="545"/>
      <c r="V114" s="1161"/>
      <c r="W114" s="1161"/>
      <c r="X114" s="1161"/>
      <c r="Y114" s="1161"/>
      <c r="Z114" s="1161"/>
      <c r="AA114" s="1633"/>
      <c r="AB114" s="567"/>
      <c r="AC114" s="567"/>
      <c r="AD114" s="567"/>
      <c r="AE114" s="567"/>
      <c r="AF114" s="1642">
        <v>11</v>
      </c>
    </row>
    <row s="1642" customFormat="1" customHeight="1" ht="11.549999999999999">
      <c r="A115" s="988"/>
      <c r="B115" s="1637"/>
      <c r="C115" s="1637"/>
      <c r="D115" s="352"/>
      <c r="K115" s="1161"/>
      <c r="L115" s="1637"/>
      <c r="M115" s="1637"/>
      <c r="N115" s="1161"/>
      <c r="O115" s="1161"/>
      <c r="P115" s="1161"/>
      <c r="Q115" s="1161"/>
      <c r="R115" s="1637"/>
      <c r="S115" s="1161"/>
      <c r="T115" s="1161"/>
      <c r="U115" s="545"/>
      <c r="V115" s="1161"/>
      <c r="W115" s="1161"/>
      <c r="X115" s="1161"/>
      <c r="Y115" s="1161"/>
      <c r="Z115" s="1161"/>
      <c r="AA115" s="1633"/>
      <c r="AB115" s="567"/>
      <c r="AC115" s="567"/>
      <c r="AD115" s="567"/>
      <c r="AE115" s="567"/>
      <c r="AF115" s="1642">
        <v>11</v>
      </c>
    </row>
    <row s="1642" customFormat="1" customHeight="1" ht="11.549999999999999">
      <c r="A116" s="988"/>
      <c r="B116" s="1637"/>
      <c r="C116" s="1637"/>
      <c r="D116" s="352"/>
      <c r="K116" s="1161"/>
      <c r="L116" s="1637"/>
      <c r="M116" s="1637"/>
      <c r="N116" s="1161"/>
      <c r="O116" s="1161"/>
      <c r="P116" s="1161"/>
      <c r="Q116" s="1161"/>
      <c r="R116" s="1637"/>
      <c r="S116" s="1161"/>
      <c r="T116" s="1161"/>
      <c r="U116" s="545"/>
      <c r="V116" s="1161"/>
      <c r="W116" s="1161"/>
      <c r="X116" s="1161"/>
      <c r="Y116" s="1161"/>
      <c r="Z116" s="1161"/>
      <c r="AA116" s="1633"/>
      <c r="AB116" s="567"/>
      <c r="AC116" s="567"/>
      <c r="AD116" s="567"/>
      <c r="AE116" s="567"/>
      <c r="AF116" s="1642">
        <v>11</v>
      </c>
    </row>
    <row s="1642" customFormat="1" customHeight="1" ht="11.549999999999999">
      <c r="A117" s="988"/>
      <c r="B117" s="1637"/>
      <c r="C117" s="1637"/>
      <c r="D117" s="352"/>
      <c r="K117" s="1161"/>
      <c r="L117" s="1637"/>
      <c r="M117" s="1637"/>
      <c r="N117" s="1161"/>
      <c r="O117" s="1161"/>
      <c r="P117" s="1161"/>
      <c r="Q117" s="1161"/>
      <c r="R117" s="1637"/>
      <c r="S117" s="1161"/>
      <c r="T117" s="1161"/>
      <c r="U117" s="545"/>
      <c r="V117" s="1161"/>
      <c r="W117" s="1161"/>
      <c r="X117" s="1161"/>
      <c r="Y117" s="1161"/>
      <c r="Z117" s="1161"/>
      <c r="AA117" s="1633"/>
      <c r="AB117" s="567"/>
      <c r="AC117" s="567"/>
      <c r="AD117" s="567"/>
      <c r="AE117" s="567"/>
      <c r="AF117" s="1642">
        <v>11</v>
      </c>
    </row>
    <row s="1642" customFormat="1" customHeight="1" ht="11.549999999999999">
      <c r="A118" s="988"/>
      <c r="B118" s="1637"/>
      <c r="C118" s="1637"/>
      <c r="D118" s="352"/>
      <c r="K118" s="1161"/>
      <c r="L118" s="1637"/>
      <c r="M118" s="1637"/>
      <c r="N118" s="1161"/>
      <c r="O118" s="1161"/>
      <c r="P118" s="1161"/>
      <c r="Q118" s="1161"/>
      <c r="R118" s="1637"/>
      <c r="S118" s="1161"/>
      <c r="T118" s="1161"/>
      <c r="U118" s="545"/>
      <c r="V118" s="1161"/>
      <c r="W118" s="1161"/>
      <c r="X118" s="1161"/>
      <c r="Y118" s="1161"/>
      <c r="Z118" s="1161"/>
      <c r="AA118" s="1633"/>
      <c r="AB118" s="567"/>
      <c r="AC118" s="567"/>
      <c r="AD118" s="567"/>
      <c r="AE118" s="567"/>
      <c r="AF118" s="1642">
        <v>11</v>
      </c>
    </row>
    <row s="1642" customFormat="1" customHeight="1" ht="11.549999999999999">
      <c r="A119" s="988"/>
      <c r="B119" s="1637"/>
      <c r="C119" s="1637"/>
      <c r="D119" s="352"/>
      <c r="K119" s="1161"/>
      <c r="L119" s="1637"/>
      <c r="M119" s="1637"/>
      <c r="N119" s="1161"/>
      <c r="O119" s="1161"/>
      <c r="P119" s="1161"/>
      <c r="Q119" s="1161"/>
      <c r="R119" s="1637"/>
      <c r="S119" s="1161"/>
      <c r="T119" s="1161"/>
      <c r="U119" s="545"/>
      <c r="V119" s="1161"/>
      <c r="W119" s="1161"/>
      <c r="X119" s="1161"/>
      <c r="Y119" s="1161"/>
      <c r="Z119" s="1161"/>
      <c r="AA119" s="1633"/>
      <c r="AB119" s="567"/>
      <c r="AC119" s="567"/>
      <c r="AD119" s="567"/>
      <c r="AE119" s="567"/>
      <c r="AF119" s="1642">
        <v>11</v>
      </c>
    </row>
    <row s="1642" customFormat="1" customHeight="1" ht="11.549999999999999">
      <c r="A120" s="988"/>
      <c r="B120" s="1637"/>
      <c r="C120" s="1637"/>
      <c r="D120" s="352"/>
      <c r="K120" s="1161"/>
      <c r="L120" s="1637"/>
      <c r="M120" s="1637"/>
      <c r="N120" s="1161"/>
      <c r="O120" s="1161"/>
      <c r="P120" s="1161"/>
      <c r="Q120" s="1161"/>
      <c r="R120" s="1637"/>
      <c r="S120" s="1161"/>
      <c r="T120" s="1161"/>
      <c r="U120" s="545"/>
      <c r="V120" s="1161"/>
      <c r="W120" s="1161"/>
      <c r="X120" s="1161"/>
      <c r="Y120" s="1161"/>
      <c r="Z120" s="1161"/>
      <c r="AA120" s="1633"/>
      <c r="AB120" s="567"/>
      <c r="AC120" s="567"/>
      <c r="AD120" s="567"/>
      <c r="AE120" s="567"/>
      <c r="AF120" s="1642">
        <v>11</v>
      </c>
    </row>
    <row s="1642" customFormat="1" customHeight="1" ht="11.549999999999999">
      <c r="A121" s="988"/>
      <c r="B121" s="1637"/>
      <c r="C121" s="1637"/>
      <c r="D121" s="352"/>
      <c r="K121" s="1161"/>
      <c r="L121" s="1637"/>
      <c r="M121" s="1637"/>
      <c r="N121" s="1161"/>
      <c r="O121" s="1161"/>
      <c r="P121" s="1161"/>
      <c r="Q121" s="1161"/>
      <c r="R121" s="1637"/>
      <c r="S121" s="1161"/>
      <c r="T121" s="1161"/>
      <c r="U121" s="545"/>
      <c r="V121" s="1161"/>
      <c r="W121" s="1161"/>
      <c r="X121" s="1161"/>
      <c r="Y121" s="1161"/>
      <c r="Z121" s="1161"/>
      <c r="AA121" s="1633"/>
      <c r="AB121" s="567"/>
      <c r="AC121" s="567"/>
      <c r="AD121" s="567"/>
      <c r="AE121" s="567"/>
      <c r="AF121" s="1642">
        <v>11</v>
      </c>
    </row>
    <row s="1642" customFormat="1" customHeight="1" ht="11.549999999999999">
      <c r="A122" s="988"/>
      <c r="B122" s="1637"/>
      <c r="C122" s="1637"/>
      <c r="D122" s="352"/>
      <c r="K122" s="1161"/>
      <c r="L122" s="1637"/>
      <c r="M122" s="1637"/>
      <c r="N122" s="1161"/>
      <c r="O122" s="1161"/>
      <c r="P122" s="1161"/>
      <c r="Q122" s="1161"/>
      <c r="R122" s="1637"/>
      <c r="S122" s="1161"/>
      <c r="T122" s="1161"/>
      <c r="U122" s="545"/>
      <c r="V122" s="1161"/>
      <c r="W122" s="1161"/>
      <c r="X122" s="1161"/>
      <c r="Y122" s="1161"/>
      <c r="Z122" s="1161"/>
      <c r="AA122" s="1633"/>
      <c r="AB122" s="567"/>
      <c r="AC122" s="567"/>
      <c r="AD122" s="567"/>
      <c r="AE122" s="567"/>
      <c r="AF122" s="1642">
        <v>11</v>
      </c>
    </row>
    <row s="1642" customFormat="1" customHeight="1" ht="11.549999999999999">
      <c r="A123" s="988"/>
      <c r="B123" s="1637"/>
      <c r="C123" s="1637"/>
      <c r="D123" s="352"/>
      <c r="K123" s="1161"/>
      <c r="L123" s="1637"/>
      <c r="M123" s="1637"/>
      <c r="N123" s="1161"/>
      <c r="O123" s="1161"/>
      <c r="P123" s="1161"/>
      <c r="Q123" s="1161"/>
      <c r="R123" s="1637"/>
      <c r="S123" s="1161"/>
      <c r="T123" s="1161"/>
      <c r="U123" s="545"/>
      <c r="V123" s="1161"/>
      <c r="W123" s="1161"/>
      <c r="X123" s="1161"/>
      <c r="Y123" s="1161"/>
      <c r="Z123" s="1161"/>
      <c r="AA123" s="1633"/>
      <c r="AB123" s="567"/>
      <c r="AC123" s="567"/>
      <c r="AD123" s="567"/>
      <c r="AE123" s="567"/>
      <c r="AF123" s="1642">
        <v>11</v>
      </c>
    </row>
    <row s="1642" customFormat="1" customHeight="1" ht="11.549999999999999">
      <c r="A124" s="988"/>
      <c r="B124" s="1637"/>
      <c r="C124" s="1637"/>
      <c r="D124" s="352"/>
      <c r="K124" s="1161"/>
      <c r="L124" s="1637"/>
      <c r="M124" s="1637"/>
      <c r="N124" s="1161"/>
      <c r="O124" s="1161"/>
      <c r="P124" s="1161"/>
      <c r="Q124" s="1161"/>
      <c r="R124" s="1637"/>
      <c r="S124" s="1161"/>
      <c r="T124" s="1161"/>
      <c r="U124" s="545"/>
      <c r="V124" s="1161"/>
      <c r="W124" s="1161"/>
      <c r="X124" s="1161"/>
      <c r="Y124" s="1161"/>
      <c r="Z124" s="1161"/>
      <c r="AA124" s="1633"/>
      <c r="AB124" s="567"/>
      <c r="AC124" s="567"/>
      <c r="AD124" s="567"/>
      <c r="AE124" s="567"/>
      <c r="AF124" s="1642">
        <v>11</v>
      </c>
    </row>
    <row s="1642" customFormat="1" customHeight="1" ht="11.549999999999999">
      <c r="A125" s="988"/>
      <c r="B125" s="1637"/>
      <c r="C125" s="1637"/>
      <c r="D125" s="352"/>
      <c r="K125" s="1161"/>
      <c r="L125" s="1637"/>
      <c r="M125" s="1637"/>
      <c r="N125" s="1161"/>
      <c r="O125" s="1161"/>
      <c r="P125" s="1161"/>
      <c r="Q125" s="1161"/>
      <c r="R125" s="1637"/>
      <c r="S125" s="1161"/>
      <c r="T125" s="1161"/>
      <c r="U125" s="545"/>
      <c r="V125" s="1161"/>
      <c r="W125" s="1161"/>
      <c r="X125" s="1161"/>
      <c r="Y125" s="1161"/>
      <c r="Z125" s="1161"/>
      <c r="AA125" s="1633"/>
      <c r="AB125" s="567"/>
      <c r="AC125" s="567"/>
      <c r="AD125" s="567"/>
      <c r="AE125" s="567"/>
      <c r="AF125" s="1642">
        <v>11</v>
      </c>
    </row>
    <row s="1642" customFormat="1" customHeight="1" ht="11.549999999999999">
      <c r="A126" s="988"/>
      <c r="B126" s="1637"/>
      <c r="C126" s="1637"/>
      <c r="D126" s="352"/>
      <c r="K126" s="1161"/>
      <c r="L126" s="1637"/>
      <c r="M126" s="1637"/>
      <c r="N126" s="1161"/>
      <c r="O126" s="1161"/>
      <c r="P126" s="1161"/>
      <c r="Q126" s="1161"/>
      <c r="R126" s="1637"/>
      <c r="S126" s="1161"/>
      <c r="T126" s="1161"/>
      <c r="U126" s="545"/>
      <c r="V126" s="1161"/>
      <c r="W126" s="1161"/>
      <c r="X126" s="1161"/>
      <c r="Y126" s="1161"/>
      <c r="Z126" s="1161"/>
      <c r="AA126" s="1633"/>
      <c r="AB126" s="567"/>
      <c r="AC126" s="567"/>
      <c r="AD126" s="567"/>
      <c r="AE126" s="567"/>
      <c r="AF126" s="1642">
        <v>11</v>
      </c>
    </row>
    <row s="1642" customFormat="1" customHeight="1" ht="11.549999999999999">
      <c r="A127" s="988"/>
      <c r="B127" s="1637"/>
      <c r="C127" s="1637"/>
      <c r="D127" s="352"/>
      <c r="K127" s="1161"/>
      <c r="L127" s="1637"/>
      <c r="M127" s="1637"/>
      <c r="N127" s="1161"/>
      <c r="O127" s="1161"/>
      <c r="P127" s="1161"/>
      <c r="Q127" s="1161"/>
      <c r="R127" s="1637"/>
      <c r="S127" s="1161"/>
      <c r="T127" s="1161"/>
      <c r="U127" s="545"/>
      <c r="V127" s="1161"/>
      <c r="W127" s="1161"/>
      <c r="X127" s="1161"/>
      <c r="Y127" s="1161"/>
      <c r="Z127" s="1161"/>
      <c r="AA127" s="1633"/>
      <c r="AB127" s="567"/>
      <c r="AC127" s="567"/>
      <c r="AD127" s="567"/>
      <c r="AE127" s="567"/>
      <c r="AF127" s="1642">
        <v>11</v>
      </c>
    </row>
    <row s="1642" customFormat="1" customHeight="1" ht="11.549999999999999">
      <c r="A128" s="988"/>
      <c r="B128" s="1637"/>
      <c r="C128" s="1637"/>
      <c r="D128" s="352"/>
      <c r="K128" s="1161"/>
      <c r="L128" s="1637"/>
      <c r="M128" s="1637"/>
      <c r="N128" s="1161"/>
      <c r="O128" s="1161"/>
      <c r="P128" s="1161"/>
      <c r="Q128" s="1161"/>
      <c r="R128" s="1637"/>
      <c r="S128" s="1161"/>
      <c r="T128" s="1161"/>
      <c r="U128" s="545"/>
      <c r="V128" s="1161"/>
      <c r="W128" s="1161"/>
      <c r="X128" s="1161"/>
      <c r="Y128" s="1161"/>
      <c r="Z128" s="1161"/>
      <c r="AA128" s="1633"/>
      <c r="AB128" s="567"/>
      <c r="AC128" s="567"/>
      <c r="AD128" s="567"/>
      <c r="AE128" s="567"/>
      <c r="AF128" s="1642">
        <v>11</v>
      </c>
    </row>
    <row s="1642" customFormat="1" customHeight="1" ht="11.549999999999999">
      <c r="A129" s="988"/>
      <c r="B129" s="1637"/>
      <c r="C129" s="1637"/>
      <c r="D129" s="352"/>
      <c r="K129" s="1161"/>
      <c r="L129" s="1637"/>
      <c r="M129" s="1637"/>
      <c r="N129" s="1161"/>
      <c r="O129" s="1161"/>
      <c r="P129" s="1161"/>
      <c r="Q129" s="1161"/>
      <c r="R129" s="1637"/>
      <c r="S129" s="1161"/>
      <c r="T129" s="1161"/>
      <c r="U129" s="545"/>
      <c r="V129" s="1161"/>
      <c r="W129" s="1161"/>
      <c r="X129" s="1161"/>
      <c r="Y129" s="1161"/>
      <c r="Z129" s="1161"/>
      <c r="AA129" s="1633"/>
      <c r="AB129" s="567"/>
      <c r="AC129" s="567"/>
      <c r="AD129" s="567"/>
      <c r="AE129" s="567"/>
      <c r="AF129" s="1642">
        <v>11</v>
      </c>
    </row>
    <row s="1642" customFormat="1" customHeight="1" ht="11.549999999999999">
      <c r="A130" s="988"/>
      <c r="B130" s="1637"/>
      <c r="C130" s="1637"/>
      <c r="D130" s="352"/>
      <c r="K130" s="1161"/>
      <c r="L130" s="1637"/>
      <c r="M130" s="1637"/>
      <c r="N130" s="1161"/>
      <c r="O130" s="1161"/>
      <c r="P130" s="1161"/>
      <c r="Q130" s="1161"/>
      <c r="R130" s="1637"/>
      <c r="S130" s="1161"/>
      <c r="T130" s="1161"/>
      <c r="U130" s="545"/>
      <c r="V130" s="1161"/>
      <c r="W130" s="1161"/>
      <c r="X130" s="1161"/>
      <c r="Y130" s="1161"/>
      <c r="Z130" s="1161"/>
      <c r="AA130" s="1633"/>
      <c r="AB130" s="567"/>
      <c r="AC130" s="567"/>
      <c r="AD130" s="567"/>
      <c r="AE130" s="567"/>
      <c r="AF130" s="1642">
        <v>11</v>
      </c>
    </row>
    <row s="1642" customFormat="1" customHeight="1" ht="11.549999999999999">
      <c r="A131" s="988"/>
      <c r="B131" s="1637"/>
      <c r="C131" s="1637"/>
      <c r="D131" s="352"/>
      <c r="K131" s="1161"/>
      <c r="L131" s="1637"/>
      <c r="M131" s="1637"/>
      <c r="N131" s="1161"/>
      <c r="O131" s="1161"/>
      <c r="P131" s="1161"/>
      <c r="Q131" s="1161"/>
      <c r="R131" s="1637"/>
      <c r="S131" s="1161"/>
      <c r="T131" s="1161"/>
      <c r="U131" s="545"/>
      <c r="V131" s="1161"/>
      <c r="W131" s="1161"/>
      <c r="X131" s="1161"/>
      <c r="Y131" s="1161"/>
      <c r="Z131" s="1161"/>
      <c r="AA131" s="1633"/>
      <c r="AB131" s="567"/>
      <c r="AC131" s="567"/>
      <c r="AD131" s="567"/>
      <c r="AE131" s="567"/>
      <c r="AF131" s="1642">
        <v>11</v>
      </c>
    </row>
    <row s="1642" customFormat="1" customHeight="1" ht="11.549999999999999">
      <c r="A132" s="988"/>
      <c r="B132" s="1637"/>
      <c r="C132" s="1637"/>
      <c r="D132" s="352"/>
      <c r="K132" s="1161"/>
      <c r="L132" s="1637"/>
      <c r="M132" s="1637"/>
      <c r="N132" s="1161"/>
      <c r="O132" s="1161"/>
      <c r="P132" s="1161"/>
      <c r="Q132" s="1161"/>
      <c r="R132" s="1637"/>
      <c r="S132" s="1161"/>
      <c r="T132" s="1161"/>
      <c r="U132" s="545"/>
      <c r="V132" s="1161"/>
      <c r="W132" s="1161"/>
      <c r="X132" s="1161"/>
      <c r="Y132" s="1161"/>
      <c r="Z132" s="1161"/>
      <c r="AA132" s="1633"/>
      <c r="AB132" s="567"/>
      <c r="AC132" s="567"/>
      <c r="AD132" s="567"/>
      <c r="AE132" s="567"/>
      <c r="AF132" s="1642">
        <v>11</v>
      </c>
    </row>
    <row s="1642" customFormat="1" customHeight="1" ht="11.549999999999999">
      <c r="A133" s="988"/>
      <c r="B133" s="1637"/>
      <c r="C133" s="1637"/>
      <c r="D133" s="352"/>
      <c r="K133" s="1161"/>
      <c r="L133" s="1637"/>
      <c r="M133" s="1637"/>
      <c r="N133" s="1161"/>
      <c r="O133" s="1161"/>
      <c r="P133" s="1161"/>
      <c r="Q133" s="1161"/>
      <c r="R133" s="1637"/>
      <c r="S133" s="1161"/>
      <c r="T133" s="1161"/>
      <c r="U133" s="545"/>
      <c r="V133" s="1161"/>
      <c r="W133" s="1161"/>
      <c r="X133" s="1161"/>
      <c r="Y133" s="1161"/>
      <c r="Z133" s="1161"/>
      <c r="AA133" s="1633"/>
      <c r="AB133" s="567"/>
      <c r="AC133" s="567"/>
      <c r="AD133" s="567"/>
      <c r="AE133" s="567"/>
      <c r="AF133" s="1642">
        <v>11</v>
      </c>
    </row>
    <row s="1642" customFormat="1" customHeight="1" ht="11.549999999999999">
      <c r="A134" s="988"/>
      <c r="B134" s="1637"/>
      <c r="C134" s="1637"/>
      <c r="D134" s="352"/>
      <c r="K134" s="1161"/>
      <c r="L134" s="1637"/>
      <c r="M134" s="1637"/>
      <c r="N134" s="1161"/>
      <c r="O134" s="1161"/>
      <c r="P134" s="1161"/>
      <c r="Q134" s="1161"/>
      <c r="R134" s="1637"/>
      <c r="S134" s="1161"/>
      <c r="T134" s="1161"/>
      <c r="U134" s="545"/>
      <c r="V134" s="1161"/>
      <c r="W134" s="1161"/>
      <c r="X134" s="1161"/>
      <c r="Y134" s="1161"/>
      <c r="Z134" s="1161"/>
      <c r="AA134" s="1633"/>
      <c r="AB134" s="567"/>
      <c r="AC134" s="567"/>
      <c r="AD134" s="567"/>
      <c r="AE134" s="567"/>
      <c r="AF134" s="1642">
        <v>11</v>
      </c>
    </row>
    <row s="1642" customFormat="1" customHeight="1" ht="11.549999999999999">
      <c r="A135" s="988"/>
      <c r="B135" s="1637"/>
      <c r="C135" s="1637"/>
      <c r="D135" s="352"/>
      <c r="K135" s="1161"/>
      <c r="L135" s="1637"/>
      <c r="M135" s="1637"/>
      <c r="N135" s="1161"/>
      <c r="O135" s="1161"/>
      <c r="P135" s="1161"/>
      <c r="Q135" s="1161"/>
      <c r="R135" s="1637"/>
      <c r="S135" s="1161"/>
      <c r="T135" s="1161"/>
      <c r="U135" s="545"/>
      <c r="V135" s="1161"/>
      <c r="W135" s="1161"/>
      <c r="X135" s="1161"/>
      <c r="Y135" s="1161"/>
      <c r="Z135" s="1161"/>
      <c r="AA135" s="1633"/>
      <c r="AB135" s="567"/>
      <c r="AC135" s="567"/>
      <c r="AD135" s="567"/>
      <c r="AE135" s="567"/>
      <c r="AF135" s="1642">
        <v>11</v>
      </c>
    </row>
    <row s="1642" customFormat="1" customHeight="1" ht="11.549999999999999">
      <c r="A136" s="988"/>
      <c r="B136" s="1637"/>
      <c r="C136" s="1637"/>
      <c r="D136" s="352"/>
      <c r="K136" s="1161"/>
      <c r="L136" s="1637"/>
      <c r="M136" s="1637"/>
      <c r="N136" s="1161"/>
      <c r="O136" s="1161"/>
      <c r="P136" s="1161"/>
      <c r="Q136" s="1161"/>
      <c r="R136" s="1637"/>
      <c r="S136" s="1161"/>
      <c r="T136" s="1161"/>
      <c r="U136" s="545"/>
      <c r="V136" s="1161"/>
      <c r="W136" s="1161"/>
      <c r="X136" s="1161"/>
      <c r="Y136" s="1161"/>
      <c r="Z136" s="1161"/>
      <c r="AA136" s="1633"/>
      <c r="AB136" s="567"/>
      <c r="AC136" s="567"/>
      <c r="AD136" s="567"/>
      <c r="AE136" s="567"/>
      <c r="AF136" s="1642">
        <v>11</v>
      </c>
    </row>
    <row s="1642" customFormat="1" customHeight="1" ht="11.549999999999999">
      <c r="A137" s="988"/>
      <c r="B137" s="1637"/>
      <c r="C137" s="1637"/>
      <c r="D137" s="352"/>
      <c r="K137" s="1161"/>
      <c r="L137" s="1637"/>
      <c r="M137" s="1637"/>
      <c r="N137" s="1161"/>
      <c r="O137" s="1161"/>
      <c r="P137" s="1161"/>
      <c r="Q137" s="1161"/>
      <c r="R137" s="1637"/>
      <c r="S137" s="1161"/>
      <c r="T137" s="1161"/>
      <c r="U137" s="545"/>
      <c r="V137" s="1161"/>
      <c r="W137" s="1161"/>
      <c r="X137" s="1161"/>
      <c r="Y137" s="1161"/>
      <c r="Z137" s="1161"/>
      <c r="AA137" s="1633"/>
      <c r="AB137" s="567"/>
      <c r="AC137" s="567"/>
      <c r="AD137" s="567"/>
      <c r="AE137" s="567"/>
      <c r="AF137" s="1642">
        <v>11</v>
      </c>
    </row>
    <row s="1642" customFormat="1" customHeight="1" ht="11.549999999999999">
      <c r="A138" s="988"/>
      <c r="B138" s="1637"/>
      <c r="C138" s="1637"/>
      <c r="D138" s="352"/>
      <c r="K138" s="1161"/>
      <c r="L138" s="1637"/>
      <c r="M138" s="1637"/>
      <c r="N138" s="1161"/>
      <c r="O138" s="1161"/>
      <c r="P138" s="1161"/>
      <c r="Q138" s="1161"/>
      <c r="R138" s="1637"/>
      <c r="S138" s="1161"/>
      <c r="T138" s="1161"/>
      <c r="U138" s="545"/>
      <c r="V138" s="1161"/>
      <c r="W138" s="1161"/>
      <c r="X138" s="1161"/>
      <c r="Y138" s="1161"/>
      <c r="Z138" s="1161"/>
      <c r="AA138" s="1633"/>
      <c r="AB138" s="567"/>
      <c r="AC138" s="567"/>
      <c r="AD138" s="567"/>
      <c r="AE138" s="567"/>
      <c r="AF138" s="1642">
        <v>11</v>
      </c>
    </row>
    <row s="1642" customFormat="1" customHeight="1" ht="11.549999999999999">
      <c r="A139" s="988"/>
      <c r="B139" s="1637"/>
      <c r="C139" s="1637"/>
      <c r="D139" s="352"/>
      <c r="K139" s="1161"/>
      <c r="L139" s="1637"/>
      <c r="M139" s="1637"/>
      <c r="N139" s="1161"/>
      <c r="O139" s="1161"/>
      <c r="P139" s="1161"/>
      <c r="Q139" s="1161"/>
      <c r="R139" s="1637"/>
      <c r="S139" s="1161"/>
      <c r="T139" s="1161"/>
      <c r="U139" s="545"/>
      <c r="V139" s="1161"/>
      <c r="W139" s="1161"/>
      <c r="X139" s="1161"/>
      <c r="Y139" s="1161"/>
      <c r="Z139" s="1161"/>
      <c r="AA139" s="1633"/>
      <c r="AB139" s="567"/>
      <c r="AC139" s="567"/>
      <c r="AD139" s="567"/>
      <c r="AE139" s="567"/>
      <c r="AF139" s="1642">
        <v>11</v>
      </c>
    </row>
    <row s="1642" customFormat="1" customHeight="1" ht="11.549999999999999">
      <c r="A140" s="988"/>
      <c r="B140" s="1637"/>
      <c r="C140" s="1637"/>
      <c r="D140" s="352"/>
      <c r="K140" s="1161"/>
      <c r="L140" s="1637"/>
      <c r="M140" s="1637"/>
      <c r="N140" s="1161"/>
      <c r="O140" s="1161"/>
      <c r="P140" s="1161"/>
      <c r="Q140" s="1161"/>
      <c r="R140" s="1637"/>
      <c r="S140" s="1161"/>
      <c r="T140" s="1161"/>
      <c r="U140" s="545"/>
      <c r="V140" s="1161"/>
      <c r="W140" s="1161"/>
      <c r="X140" s="1161"/>
      <c r="Y140" s="1161"/>
      <c r="Z140" s="1161"/>
      <c r="AA140" s="1633"/>
      <c r="AB140" s="567"/>
      <c r="AC140" s="567"/>
      <c r="AD140" s="567"/>
      <c r="AE140" s="567"/>
      <c r="AF140" s="1642">
        <v>11</v>
      </c>
    </row>
    <row s="1642" customFormat="1" customHeight="1" ht="11.549999999999999">
      <c r="A141" s="988"/>
      <c r="B141" s="1637"/>
      <c r="C141" s="1637"/>
      <c r="D141" s="352"/>
      <c r="K141" s="1161"/>
      <c r="L141" s="1637"/>
      <c r="M141" s="1637"/>
      <c r="N141" s="1161"/>
      <c r="O141" s="1161"/>
      <c r="P141" s="1161"/>
      <c r="Q141" s="1161"/>
      <c r="R141" s="1637"/>
      <c r="S141" s="1161"/>
      <c r="T141" s="1161"/>
      <c r="U141" s="545"/>
      <c r="V141" s="1161"/>
      <c r="W141" s="1161"/>
      <c r="X141" s="1161"/>
      <c r="Y141" s="1161"/>
      <c r="Z141" s="1161"/>
      <c r="AA141" s="1633"/>
      <c r="AB141" s="567"/>
      <c r="AC141" s="567"/>
      <c r="AD141" s="567"/>
      <c r="AE141" s="567"/>
      <c r="AF141" s="1642">
        <v>11</v>
      </c>
    </row>
    <row s="1642" customFormat="1" customHeight="1" ht="11.549999999999999">
      <c r="A142" s="988"/>
      <c r="B142" s="1637"/>
      <c r="C142" s="1637"/>
      <c r="D142" s="352"/>
      <c r="K142" s="1161"/>
      <c r="L142" s="1637"/>
      <c r="M142" s="1637"/>
      <c r="N142" s="1161"/>
      <c r="O142" s="1161"/>
      <c r="P142" s="1161"/>
      <c r="Q142" s="1161"/>
      <c r="R142" s="1637"/>
      <c r="S142" s="1161"/>
      <c r="T142" s="1161"/>
      <c r="U142" s="545"/>
      <c r="V142" s="1161"/>
      <c r="W142" s="1161"/>
      <c r="X142" s="1161"/>
      <c r="Y142" s="1161"/>
      <c r="Z142" s="1161"/>
      <c r="AA142" s="1633"/>
      <c r="AB142" s="567"/>
      <c r="AC142" s="567"/>
      <c r="AD142" s="567"/>
      <c r="AE142" s="567"/>
      <c r="AF142" s="1642">
        <v>11</v>
      </c>
    </row>
    <row s="1642" customFormat="1" customHeight="1" ht="11.549999999999999">
      <c r="A143" s="988"/>
      <c r="B143" s="1637"/>
      <c r="C143" s="1637"/>
      <c r="D143" s="352"/>
      <c r="K143" s="1161"/>
      <c r="L143" s="1637"/>
      <c r="M143" s="1637"/>
      <c r="N143" s="1161"/>
      <c r="O143" s="1161"/>
      <c r="P143" s="1161"/>
      <c r="Q143" s="1161"/>
      <c r="R143" s="1637"/>
      <c r="S143" s="1161"/>
      <c r="T143" s="1161"/>
      <c r="U143" s="545"/>
      <c r="V143" s="1161"/>
      <c r="W143" s="1161"/>
      <c r="X143" s="1161"/>
      <c r="Y143" s="1161"/>
      <c r="Z143" s="1161"/>
      <c r="AA143" s="1633"/>
      <c r="AB143" s="567"/>
      <c r="AC143" s="567"/>
      <c r="AD143" s="567"/>
      <c r="AE143" s="567"/>
      <c r="AF143" s="1642">
        <v>11</v>
      </c>
    </row>
    <row s="1642" customFormat="1" customHeight="1" ht="11.549999999999999">
      <c r="A144" s="988"/>
      <c r="B144" s="1637"/>
      <c r="C144" s="1637"/>
      <c r="D144" s="352"/>
      <c r="K144" s="1161"/>
      <c r="L144" s="1637"/>
      <c r="M144" s="1637"/>
      <c r="N144" s="1161"/>
      <c r="O144" s="1161"/>
      <c r="P144" s="1161"/>
      <c r="Q144" s="1161"/>
      <c r="R144" s="1637"/>
      <c r="S144" s="1161"/>
      <c r="T144" s="1161"/>
      <c r="U144" s="545"/>
      <c r="V144" s="1161"/>
      <c r="W144" s="1161"/>
      <c r="X144" s="1161"/>
      <c r="Y144" s="1161"/>
      <c r="Z144" s="1161"/>
      <c r="AA144" s="1633"/>
      <c r="AB144" s="567"/>
      <c r="AC144" s="567"/>
      <c r="AD144" s="567"/>
      <c r="AE144" s="567"/>
      <c r="AF144" s="1642">
        <v>11</v>
      </c>
    </row>
    <row s="1642" customFormat="1" customHeight="1" ht="11.549999999999999">
      <c r="A145" s="988"/>
      <c r="B145" s="1637"/>
      <c r="C145" s="1637"/>
      <c r="D145" s="352"/>
      <c r="K145" s="1161"/>
      <c r="L145" s="1637"/>
      <c r="M145" s="1637"/>
      <c r="N145" s="1161"/>
      <c r="O145" s="1161"/>
      <c r="P145" s="1161"/>
      <c r="Q145" s="1161"/>
      <c r="R145" s="1637"/>
      <c r="S145" s="1161"/>
      <c r="T145" s="1161"/>
      <c r="U145" s="545"/>
      <c r="V145" s="1161"/>
      <c r="W145" s="1161"/>
      <c r="X145" s="1161"/>
      <c r="Y145" s="1161"/>
      <c r="Z145" s="1161"/>
      <c r="AA145" s="1633"/>
      <c r="AB145" s="567"/>
      <c r="AC145" s="567"/>
      <c r="AD145" s="567"/>
      <c r="AE145" s="567"/>
      <c r="AF145" s="1642">
        <v>11</v>
      </c>
    </row>
    <row s="1642" customFormat="1" customHeight="1" ht="11.549999999999999">
      <c r="A146" s="988"/>
      <c r="B146" s="1637"/>
      <c r="C146" s="1637"/>
      <c r="D146" s="352"/>
      <c r="K146" s="1161"/>
      <c r="L146" s="1637"/>
      <c r="M146" s="1637"/>
      <c r="N146" s="1161"/>
      <c r="O146" s="1161"/>
      <c r="P146" s="1161"/>
      <c r="Q146" s="1161"/>
      <c r="R146" s="1637"/>
      <c r="S146" s="1161"/>
      <c r="T146" s="1161"/>
      <c r="U146" s="545"/>
      <c r="V146" s="1161"/>
      <c r="W146" s="1161"/>
      <c r="X146" s="1161"/>
      <c r="Y146" s="1161"/>
      <c r="Z146" s="1161"/>
      <c r="AA146" s="1633"/>
      <c r="AB146" s="567"/>
      <c r="AC146" s="567"/>
      <c r="AD146" s="567"/>
      <c r="AE146" s="567"/>
      <c r="AF146" s="1642">
        <v>11</v>
      </c>
    </row>
    <row s="1642" customFormat="1" customHeight="1" ht="11.549999999999999">
      <c r="A147" s="988"/>
      <c r="B147" s="1637"/>
      <c r="C147" s="1637"/>
      <c r="D147" s="352"/>
      <c r="K147" s="1161"/>
      <c r="L147" s="1637"/>
      <c r="M147" s="1637"/>
      <c r="N147" s="1161"/>
      <c r="O147" s="1161"/>
      <c r="P147" s="1161"/>
      <c r="Q147" s="1161"/>
      <c r="R147" s="1637"/>
      <c r="S147" s="1161"/>
      <c r="T147" s="1161"/>
      <c r="U147" s="545"/>
      <c r="V147" s="1161"/>
      <c r="W147" s="1161"/>
      <c r="X147" s="1161"/>
      <c r="Y147" s="1161"/>
      <c r="Z147" s="1161"/>
      <c r="AA147" s="1633"/>
      <c r="AB147" s="567"/>
      <c r="AC147" s="567"/>
      <c r="AD147" s="567"/>
      <c r="AE147" s="567"/>
      <c r="AF147" s="1642">
        <v>11</v>
      </c>
    </row>
    <row s="1642" customFormat="1" customHeight="1" ht="11.549999999999999">
      <c r="A148" s="988"/>
      <c r="B148" s="1637"/>
      <c r="C148" s="1637"/>
      <c r="D148" s="352"/>
      <c r="K148" s="1161"/>
      <c r="L148" s="1637"/>
      <c r="M148" s="1637"/>
      <c r="N148" s="1161"/>
      <c r="O148" s="1161"/>
      <c r="P148" s="1161"/>
      <c r="Q148" s="1161"/>
      <c r="R148" s="1637"/>
      <c r="S148" s="1161"/>
      <c r="T148" s="1161"/>
      <c r="U148" s="545"/>
      <c r="V148" s="1161"/>
      <c r="W148" s="1161"/>
      <c r="X148" s="1161"/>
      <c r="Y148" s="1161"/>
      <c r="Z148" s="1161"/>
      <c r="AA148" s="1633"/>
      <c r="AB148" s="567"/>
      <c r="AC148" s="567"/>
      <c r="AD148" s="567"/>
      <c r="AE148" s="567"/>
      <c r="AF148" s="1642">
        <v>11</v>
      </c>
    </row>
    <row s="1642" customFormat="1" customHeight="1" ht="11.549999999999999">
      <c r="A149" s="988"/>
      <c r="B149" s="1637"/>
      <c r="C149" s="1637"/>
      <c r="D149" s="352"/>
      <c r="K149" s="1161"/>
      <c r="L149" s="1637"/>
      <c r="M149" s="1637"/>
      <c r="N149" s="1161"/>
      <c r="O149" s="1161"/>
      <c r="P149" s="1161"/>
      <c r="Q149" s="1161"/>
      <c r="R149" s="1637"/>
      <c r="S149" s="1161"/>
      <c r="T149" s="1161"/>
      <c r="U149" s="545"/>
      <c r="V149" s="1161"/>
      <c r="W149" s="1161"/>
      <c r="X149" s="1161"/>
      <c r="Y149" s="1161"/>
      <c r="Z149" s="1161"/>
      <c r="AA149" s="1633"/>
      <c r="AB149" s="567"/>
      <c r="AC149" s="567"/>
      <c r="AD149" s="567"/>
      <c r="AE149" s="567"/>
      <c r="AF149" s="1642">
        <v>11</v>
      </c>
    </row>
    <row s="1642" customFormat="1" customHeight="1" ht="11.549999999999999">
      <c r="A150" s="988"/>
      <c r="B150" s="1637"/>
      <c r="C150" s="1637"/>
      <c r="D150" s="352"/>
      <c r="K150" s="1161"/>
      <c r="L150" s="1637"/>
      <c r="M150" s="1637"/>
      <c r="N150" s="1161"/>
      <c r="O150" s="1161"/>
      <c r="P150" s="1161"/>
      <c r="Q150" s="1161"/>
      <c r="R150" s="1637"/>
      <c r="S150" s="1161"/>
      <c r="T150" s="1161"/>
      <c r="U150" s="545"/>
      <c r="V150" s="1161"/>
      <c r="W150" s="1161"/>
      <c r="X150" s="1161"/>
      <c r="Y150" s="1161"/>
      <c r="Z150" s="1161"/>
      <c r="AA150" s="1633"/>
      <c r="AB150" s="567"/>
      <c r="AC150" s="567"/>
      <c r="AD150" s="567"/>
      <c r="AE150" s="567"/>
      <c r="AF150" s="1642">
        <v>11</v>
      </c>
    </row>
    <row s="1642" customFormat="1" customHeight="1" ht="11.549999999999999">
      <c r="A151" s="988"/>
      <c r="B151" s="1637"/>
      <c r="C151" s="1637"/>
      <c r="D151" s="352"/>
      <c r="K151" s="1161"/>
      <c r="L151" s="1637"/>
      <c r="M151" s="1637"/>
      <c r="N151" s="1161"/>
      <c r="O151" s="1161"/>
      <c r="P151" s="1161"/>
      <c r="Q151" s="1161"/>
      <c r="R151" s="1637"/>
      <c r="S151" s="1161"/>
      <c r="T151" s="1161"/>
      <c r="U151" s="545"/>
      <c r="V151" s="1161"/>
      <c r="W151" s="1161"/>
      <c r="X151" s="1161"/>
      <c r="Y151" s="1161"/>
      <c r="Z151" s="1161"/>
      <c r="AA151" s="1633"/>
      <c r="AB151" s="567"/>
      <c r="AC151" s="567"/>
      <c r="AD151" s="567"/>
      <c r="AE151" s="567"/>
      <c r="AF151" s="1642">
        <v>11</v>
      </c>
    </row>
    <row s="1642" customFormat="1" customHeight="1" ht="11.549999999999999">
      <c r="A152" s="988"/>
      <c r="B152" s="1637"/>
      <c r="C152" s="1637"/>
      <c r="D152" s="352"/>
      <c r="K152" s="1161"/>
      <c r="L152" s="1637"/>
      <c r="M152" s="1637"/>
      <c r="N152" s="1161"/>
      <c r="O152" s="1161"/>
      <c r="P152" s="1161"/>
      <c r="Q152" s="1161"/>
      <c r="R152" s="1637"/>
      <c r="S152" s="1161"/>
      <c r="T152" s="1161"/>
      <c r="U152" s="545"/>
      <c r="V152" s="1161"/>
      <c r="W152" s="1161"/>
      <c r="X152" s="1161"/>
      <c r="Y152" s="1161"/>
      <c r="Z152" s="1161"/>
      <c r="AA152" s="1633"/>
      <c r="AB152" s="567"/>
      <c r="AC152" s="567"/>
      <c r="AD152" s="567"/>
      <c r="AE152" s="567"/>
      <c r="AF152" s="1642">
        <v>11</v>
      </c>
    </row>
    <row s="1642" customFormat="1" customHeight="1" ht="11.549999999999999">
      <c r="A153" s="988"/>
      <c r="B153" s="1637"/>
      <c r="C153" s="1637"/>
      <c r="D153" s="352"/>
      <c r="K153" s="1161"/>
      <c r="L153" s="1637"/>
      <c r="M153" s="1637"/>
      <c r="N153" s="1161"/>
      <c r="O153" s="1161"/>
      <c r="P153" s="1161"/>
      <c r="Q153" s="1161"/>
      <c r="R153" s="1637"/>
      <c r="S153" s="1161"/>
      <c r="T153" s="1161"/>
      <c r="U153" s="545"/>
      <c r="V153" s="1161"/>
      <c r="W153" s="1161"/>
      <c r="X153" s="1161"/>
      <c r="Y153" s="1161"/>
      <c r="Z153" s="1161"/>
      <c r="AA153" s="1633"/>
      <c r="AB153" s="567"/>
      <c r="AC153" s="567"/>
      <c r="AD153" s="567"/>
      <c r="AE153" s="567"/>
      <c r="AF153" s="1642">
        <v>11</v>
      </c>
    </row>
    <row s="1642" customFormat="1" customHeight="1" ht="11.549999999999999">
      <c r="A154" s="988"/>
      <c r="B154" s="1637"/>
      <c r="C154" s="1637"/>
      <c r="D154" s="352"/>
      <c r="K154" s="1161"/>
      <c r="L154" s="1637"/>
      <c r="M154" s="1637"/>
      <c r="N154" s="1161"/>
      <c r="O154" s="1161"/>
      <c r="P154" s="1161"/>
      <c r="Q154" s="1161"/>
      <c r="R154" s="1637"/>
      <c r="S154" s="1161"/>
      <c r="T154" s="1161"/>
      <c r="U154" s="545"/>
      <c r="V154" s="1161"/>
      <c r="W154" s="1161"/>
      <c r="X154" s="1161"/>
      <c r="Y154" s="1161"/>
      <c r="Z154" s="1161"/>
      <c r="AA154" s="1633"/>
      <c r="AB154" s="567"/>
      <c r="AC154" s="567"/>
      <c r="AD154" s="567"/>
      <c r="AE154" s="567"/>
      <c r="AF154" s="1642">
        <v>11</v>
      </c>
    </row>
    <row s="1642" customFormat="1" customHeight="1" ht="11.549999999999999">
      <c r="A155" s="988"/>
      <c r="B155" s="1637"/>
      <c r="C155" s="1637"/>
      <c r="D155" s="352"/>
      <c r="K155" s="1161"/>
      <c r="L155" s="1637"/>
      <c r="M155" s="1637"/>
      <c r="N155" s="1161"/>
      <c r="O155" s="1161"/>
      <c r="P155" s="1161"/>
      <c r="Q155" s="1161"/>
      <c r="R155" s="1637"/>
      <c r="S155" s="1161"/>
      <c r="T155" s="1161"/>
      <c r="U155" s="545"/>
      <c r="V155" s="1161"/>
      <c r="W155" s="1161"/>
      <c r="X155" s="1161"/>
      <c r="Y155" s="1161"/>
      <c r="Z155" s="1161"/>
      <c r="AA155" s="1633"/>
      <c r="AB155" s="567"/>
      <c r="AC155" s="567"/>
      <c r="AD155" s="567"/>
      <c r="AE155" s="567"/>
      <c r="AF155" s="1642">
        <v>11</v>
      </c>
    </row>
    <row s="1642" customFormat="1" customHeight="1" ht="11.549999999999999">
      <c r="A156" s="988"/>
      <c r="B156" s="1637"/>
      <c r="C156" s="1637"/>
      <c r="D156" s="352"/>
      <c r="K156" s="1161"/>
      <c r="L156" s="1637"/>
      <c r="M156" s="1637"/>
      <c r="N156" s="1161"/>
      <c r="O156" s="1161"/>
      <c r="P156" s="1161"/>
      <c r="Q156" s="1161"/>
      <c r="R156" s="1637"/>
      <c r="S156" s="1161"/>
      <c r="T156" s="1161"/>
      <c r="U156" s="545"/>
      <c r="V156" s="1161"/>
      <c r="W156" s="1161"/>
      <c r="X156" s="1161"/>
      <c r="Y156" s="1161"/>
      <c r="Z156" s="1161"/>
      <c r="AA156" s="1633"/>
      <c r="AB156" s="567"/>
      <c r="AC156" s="567"/>
      <c r="AD156" s="567"/>
      <c r="AE156" s="567"/>
      <c r="AF156" s="1642">
        <v>11</v>
      </c>
    </row>
    <row s="1642" customFormat="1" customHeight="1" ht="11.549999999999999">
      <c r="A157" s="988"/>
      <c r="B157" s="1637"/>
      <c r="C157" s="1637"/>
      <c r="D157" s="352"/>
      <c r="K157" s="1161"/>
      <c r="L157" s="1637"/>
      <c r="M157" s="1637"/>
      <c r="N157" s="1161"/>
      <c r="O157" s="1161"/>
      <c r="P157" s="1161"/>
      <c r="Q157" s="1161"/>
      <c r="R157" s="1637"/>
      <c r="S157" s="1161"/>
      <c r="T157" s="1161"/>
      <c r="U157" s="545"/>
      <c r="V157" s="1161"/>
      <c r="W157" s="1161"/>
      <c r="X157" s="1161"/>
      <c r="Y157" s="1161"/>
      <c r="Z157" s="1161"/>
      <c r="AA157" s="1633"/>
      <c r="AB157" s="567"/>
      <c r="AC157" s="567"/>
      <c r="AD157" s="567"/>
      <c r="AE157" s="567"/>
      <c r="AF157" s="1642">
        <v>11</v>
      </c>
    </row>
    <row s="1642" customFormat="1" customHeight="1" ht="11.549999999999999">
      <c r="A158" s="988"/>
      <c r="B158" s="1637"/>
      <c r="C158" s="1637"/>
      <c r="D158" s="352"/>
      <c r="K158" s="1161"/>
      <c r="L158" s="1637"/>
      <c r="M158" s="1637"/>
      <c r="N158" s="1161"/>
      <c r="O158" s="1161"/>
      <c r="P158" s="1161"/>
      <c r="Q158" s="1161"/>
      <c r="R158" s="1637"/>
      <c r="S158" s="1161"/>
      <c r="T158" s="1161"/>
      <c r="U158" s="545"/>
      <c r="V158" s="1161"/>
      <c r="W158" s="1161"/>
      <c r="X158" s="1161"/>
      <c r="Y158" s="1161"/>
      <c r="Z158" s="1161"/>
      <c r="AA158" s="1633"/>
      <c r="AB158" s="567"/>
      <c r="AC158" s="567"/>
      <c r="AD158" s="567"/>
      <c r="AE158" s="567"/>
      <c r="AF158" s="1642">
        <v>11</v>
      </c>
    </row>
    <row s="1642" customFormat="1" customHeight="1" ht="11.549999999999999">
      <c r="A159" s="988"/>
      <c r="B159" s="1637"/>
      <c r="C159" s="1637"/>
      <c r="D159" s="352"/>
      <c r="K159" s="1161"/>
      <c r="L159" s="1637"/>
      <c r="M159" s="1637"/>
      <c r="N159" s="1161"/>
      <c r="O159" s="1161"/>
      <c r="P159" s="1161"/>
      <c r="Q159" s="1161"/>
      <c r="R159" s="1637"/>
      <c r="S159" s="1161"/>
      <c r="T159" s="1161"/>
      <c r="U159" s="545"/>
      <c r="V159" s="1161"/>
      <c r="W159" s="1161"/>
      <c r="X159" s="1161"/>
      <c r="Y159" s="1161"/>
      <c r="Z159" s="1161"/>
      <c r="AA159" s="1633"/>
      <c r="AB159" s="567"/>
      <c r="AC159" s="567"/>
      <c r="AD159" s="567"/>
      <c r="AE159" s="567"/>
      <c r="AF159" s="1642">
        <v>11</v>
      </c>
    </row>
    <row s="1642" customFormat="1" customHeight="1" ht="11.549999999999999">
      <c r="A160" s="988"/>
      <c r="B160" s="1637"/>
      <c r="C160" s="1637"/>
      <c r="D160" s="352"/>
      <c r="K160" s="1161"/>
      <c r="L160" s="1637"/>
      <c r="M160" s="1637"/>
      <c r="N160" s="1161"/>
      <c r="O160" s="1161"/>
      <c r="P160" s="1161"/>
      <c r="Q160" s="1161"/>
      <c r="R160" s="1637"/>
      <c r="S160" s="1161"/>
      <c r="T160" s="1161"/>
      <c r="U160" s="545"/>
      <c r="V160" s="1161"/>
      <c r="W160" s="1161"/>
      <c r="X160" s="1161"/>
      <c r="Y160" s="1161"/>
      <c r="Z160" s="1161"/>
      <c r="AA160" s="1633"/>
      <c r="AB160" s="567"/>
      <c r="AC160" s="567"/>
      <c r="AD160" s="567"/>
      <c r="AE160" s="567"/>
      <c r="AF160" s="1642">
        <v>11</v>
      </c>
    </row>
    <row s="1642" customFormat="1" customHeight="1" ht="11.549999999999999">
      <c r="A161" s="988"/>
      <c r="B161" s="1637"/>
      <c r="C161" s="1637"/>
      <c r="D161" s="352"/>
      <c r="K161" s="1161"/>
      <c r="L161" s="1637"/>
      <c r="M161" s="1637"/>
      <c r="N161" s="1161"/>
      <c r="O161" s="1161"/>
      <c r="P161" s="1161"/>
      <c r="Q161" s="1161"/>
      <c r="R161" s="1637"/>
      <c r="S161" s="1161"/>
      <c r="T161" s="1161"/>
      <c r="U161" s="545"/>
      <c r="V161" s="1161"/>
      <c r="W161" s="1161"/>
      <c r="X161" s="1161"/>
      <c r="Y161" s="1161"/>
      <c r="Z161" s="1161"/>
      <c r="AA161" s="1633"/>
      <c r="AB161" s="567"/>
      <c r="AC161" s="567"/>
      <c r="AD161" s="567"/>
      <c r="AE161" s="567"/>
      <c r="AF161" s="1642">
        <v>11</v>
      </c>
    </row>
    <row s="1642" customFormat="1" customHeight="1" ht="11.549999999999999">
      <c r="A162" s="988"/>
      <c r="B162" s="1637"/>
      <c r="C162" s="1637"/>
      <c r="D162" s="352"/>
      <c r="K162" s="1161"/>
      <c r="L162" s="1637"/>
      <c r="M162" s="1637"/>
      <c r="N162" s="1161"/>
      <c r="O162" s="1161"/>
      <c r="P162" s="1161"/>
      <c r="Q162" s="1161"/>
      <c r="R162" s="1637"/>
      <c r="S162" s="1161"/>
      <c r="T162" s="1161"/>
      <c r="U162" s="545"/>
      <c r="V162" s="1161"/>
      <c r="W162" s="1161"/>
      <c r="X162" s="1161"/>
      <c r="Y162" s="1161"/>
      <c r="Z162" s="1161"/>
      <c r="AA162" s="1633"/>
      <c r="AB162" s="567"/>
      <c r="AC162" s="567"/>
      <c r="AD162" s="567"/>
      <c r="AE162" s="567"/>
      <c r="AF162" s="1642">
        <v>11</v>
      </c>
    </row>
    <row s="1642" customFormat="1" customHeight="1" ht="11.549999999999999">
      <c r="A163" s="988"/>
      <c r="B163" s="1637"/>
      <c r="C163" s="1637"/>
      <c r="D163" s="352"/>
      <c r="K163" s="1161"/>
      <c r="L163" s="1637"/>
      <c r="M163" s="1637"/>
      <c r="N163" s="1161"/>
      <c r="O163" s="1161"/>
      <c r="P163" s="1161"/>
      <c r="Q163" s="1161"/>
      <c r="R163" s="1637"/>
      <c r="S163" s="1161"/>
      <c r="T163" s="1161"/>
      <c r="U163" s="545"/>
      <c r="V163" s="1161"/>
      <c r="W163" s="1161"/>
      <c r="X163" s="1161"/>
      <c r="Y163" s="1161"/>
      <c r="Z163" s="1161"/>
      <c r="AA163" s="1633"/>
      <c r="AB163" s="567"/>
      <c r="AC163" s="567"/>
      <c r="AD163" s="567"/>
      <c r="AE163" s="567"/>
      <c r="AF163" s="1642">
        <v>11</v>
      </c>
    </row>
    <row s="1642" customFormat="1" customHeight="1" ht="11.549999999999999">
      <c r="A164" s="988"/>
      <c r="B164" s="1637"/>
      <c r="C164" s="1637"/>
      <c r="D164" s="352"/>
      <c r="K164" s="1161"/>
      <c r="L164" s="1637"/>
      <c r="M164" s="1637"/>
      <c r="N164" s="1161"/>
      <c r="O164" s="1161"/>
      <c r="P164" s="1161"/>
      <c r="Q164" s="1161"/>
      <c r="R164" s="1637"/>
      <c r="S164" s="1161"/>
      <c r="T164" s="1161"/>
      <c r="U164" s="545"/>
      <c r="V164" s="1161"/>
      <c r="W164" s="1161"/>
      <c r="X164" s="1161"/>
      <c r="Y164" s="1161"/>
      <c r="Z164" s="1161"/>
      <c r="AA164" s="1633"/>
      <c r="AB164" s="567"/>
      <c r="AC164" s="567"/>
      <c r="AD164" s="567"/>
      <c r="AE164" s="567"/>
      <c r="AF164" s="1642">
        <v>11</v>
      </c>
    </row>
    <row s="1642" customFormat="1" customHeight="1" ht="11.549999999999999">
      <c r="A165" s="988"/>
      <c r="B165" s="1637"/>
      <c r="C165" s="1637"/>
      <c r="D165" s="352"/>
      <c r="K165" s="1161"/>
      <c r="L165" s="1637"/>
      <c r="M165" s="1637"/>
      <c r="N165" s="1161"/>
      <c r="O165" s="1161"/>
      <c r="P165" s="1161"/>
      <c r="Q165" s="1161"/>
      <c r="R165" s="1637"/>
      <c r="S165" s="1161"/>
      <c r="T165" s="1161"/>
      <c r="U165" s="545"/>
      <c r="V165" s="1161"/>
      <c r="W165" s="1161"/>
      <c r="X165" s="1161"/>
      <c r="Y165" s="1161"/>
      <c r="Z165" s="1161"/>
      <c r="AA165" s="1633"/>
      <c r="AB165" s="567"/>
      <c r="AC165" s="567"/>
      <c r="AD165" s="567"/>
      <c r="AE165" s="567"/>
      <c r="AF165" s="1642">
        <v>11</v>
      </c>
    </row>
    <row s="1642" customFormat="1" customHeight="1" ht="11.549999999999999">
      <c r="A166" s="988"/>
      <c r="B166" s="1637"/>
      <c r="C166" s="1637"/>
      <c r="D166" s="352"/>
      <c r="K166" s="1161"/>
      <c r="L166" s="1637"/>
      <c r="M166" s="1637"/>
      <c r="N166" s="1161"/>
      <c r="O166" s="1161"/>
      <c r="P166" s="1161"/>
      <c r="Q166" s="1161"/>
      <c r="R166" s="1637"/>
      <c r="S166" s="1161"/>
      <c r="T166" s="1161"/>
      <c r="U166" s="545"/>
      <c r="V166" s="1161"/>
      <c r="W166" s="1161"/>
      <c r="X166" s="1161"/>
      <c r="Y166" s="1161"/>
      <c r="Z166" s="1161"/>
      <c r="AA166" s="1633"/>
      <c r="AB166" s="567"/>
      <c r="AC166" s="567"/>
      <c r="AD166" s="567"/>
      <c r="AE166" s="567"/>
      <c r="AF166" s="1642">
        <v>11</v>
      </c>
    </row>
    <row s="1642" customFormat="1" customHeight="1" ht="11.549999999999999">
      <c r="A167" s="988"/>
      <c r="B167" s="1637"/>
      <c r="C167" s="1637"/>
      <c r="D167" s="352"/>
      <c r="K167" s="1161"/>
      <c r="L167" s="1637"/>
      <c r="M167" s="1637"/>
      <c r="N167" s="1161"/>
      <c r="O167" s="1161"/>
      <c r="P167" s="1161"/>
      <c r="Q167" s="1161"/>
      <c r="R167" s="1637"/>
      <c r="S167" s="1161"/>
      <c r="T167" s="1161"/>
      <c r="U167" s="545"/>
      <c r="V167" s="1161"/>
      <c r="W167" s="1161"/>
      <c r="X167" s="1161"/>
      <c r="Y167" s="1161"/>
      <c r="Z167" s="1161"/>
      <c r="AA167" s="1633"/>
      <c r="AB167" s="567"/>
      <c r="AC167" s="567"/>
      <c r="AD167" s="567"/>
      <c r="AE167" s="567"/>
      <c r="AF167" s="1642">
        <v>11</v>
      </c>
    </row>
    <row s="1642" customFormat="1" customHeight="1" ht="11.549999999999999">
      <c r="A168" s="988"/>
      <c r="B168" s="1637"/>
      <c r="C168" s="1637"/>
      <c r="D168" s="352"/>
      <c r="K168" s="1161"/>
      <c r="L168" s="1637"/>
      <c r="M168" s="1637"/>
      <c r="N168" s="1161"/>
      <c r="O168" s="1161"/>
      <c r="P168" s="1161"/>
      <c r="Q168" s="1161"/>
      <c r="R168" s="1637"/>
      <c r="S168" s="1161"/>
      <c r="T168" s="1161"/>
      <c r="U168" s="545"/>
      <c r="V168" s="1161"/>
      <c r="W168" s="1161"/>
      <c r="X168" s="1161"/>
      <c r="Y168" s="1161"/>
      <c r="Z168" s="1161"/>
      <c r="AA168" s="1633"/>
      <c r="AB168" s="567"/>
      <c r="AC168" s="567"/>
      <c r="AD168" s="567"/>
      <c r="AE168" s="567"/>
      <c r="AF168" s="1642">
        <v>11</v>
      </c>
    </row>
    <row s="1642" customFormat="1" customHeight="1" ht="11.549999999999999">
      <c r="A169" s="988"/>
      <c r="B169" s="1637"/>
      <c r="C169" s="1637"/>
      <c r="D169" s="352"/>
      <c r="K169" s="1161"/>
      <c r="L169" s="1637"/>
      <c r="M169" s="1637"/>
      <c r="N169" s="1161"/>
      <c r="O169" s="1161"/>
      <c r="P169" s="1161"/>
      <c r="Q169" s="1161"/>
      <c r="R169" s="1637"/>
      <c r="S169" s="1161"/>
      <c r="T169" s="1161"/>
      <c r="U169" s="545"/>
      <c r="V169" s="1161"/>
      <c r="W169" s="1161"/>
      <c r="X169" s="1161"/>
      <c r="Y169" s="1161"/>
      <c r="Z169" s="1161"/>
      <c r="AA169" s="1633"/>
      <c r="AB169" s="567"/>
      <c r="AC169" s="567"/>
      <c r="AD169" s="567"/>
      <c r="AE169" s="567"/>
      <c r="AF169" s="1642">
        <v>11</v>
      </c>
    </row>
    <row s="1642" customFormat="1" customHeight="1" ht="11.549999999999999">
      <c r="A170" s="988"/>
      <c r="B170" s="1637"/>
      <c r="C170" s="1637"/>
      <c r="D170" s="352"/>
      <c r="K170" s="1161"/>
      <c r="L170" s="1637"/>
      <c r="M170" s="1637"/>
      <c r="N170" s="1161"/>
      <c r="O170" s="1161"/>
      <c r="P170" s="1161"/>
      <c r="Q170" s="1161"/>
      <c r="R170" s="1637"/>
      <c r="S170" s="1161"/>
      <c r="T170" s="1161"/>
      <c r="U170" s="545"/>
      <c r="V170" s="1161"/>
      <c r="W170" s="1161"/>
      <c r="X170" s="1161"/>
      <c r="Y170" s="1161"/>
      <c r="Z170" s="1161"/>
      <c r="AA170" s="1633"/>
      <c r="AB170" s="567"/>
      <c r="AC170" s="567"/>
      <c r="AD170" s="567"/>
      <c r="AE170" s="567"/>
      <c r="AF170" s="1642">
        <v>11</v>
      </c>
    </row>
    <row s="1642" customFormat="1" customHeight="1" ht="11.549999999999999">
      <c r="A171" s="988"/>
      <c r="B171" s="1637"/>
      <c r="C171" s="1637"/>
      <c r="D171" s="352"/>
      <c r="K171" s="1161"/>
      <c r="L171" s="1637"/>
      <c r="M171" s="1637"/>
      <c r="N171" s="1161"/>
      <c r="O171" s="1161"/>
      <c r="P171" s="1161"/>
      <c r="Q171" s="1161"/>
      <c r="R171" s="1637"/>
      <c r="S171" s="1161"/>
      <c r="T171" s="1161"/>
      <c r="U171" s="545"/>
      <c r="V171" s="1161"/>
      <c r="W171" s="1161"/>
      <c r="X171" s="1161"/>
      <c r="Y171" s="1161"/>
      <c r="Z171" s="1161"/>
      <c r="AA171" s="1633"/>
      <c r="AB171" s="567"/>
      <c r="AC171" s="567"/>
      <c r="AD171" s="567"/>
      <c r="AE171" s="567"/>
      <c r="AF171" s="1642">
        <v>11</v>
      </c>
    </row>
    <row s="1642" customFormat="1" customHeight="1" ht="11.549999999999999">
      <c r="A172" s="988"/>
      <c r="B172" s="1637"/>
      <c r="C172" s="1637"/>
      <c r="D172" s="352"/>
      <c r="K172" s="1161"/>
      <c r="L172" s="1637"/>
      <c r="M172" s="1637"/>
      <c r="N172" s="1161"/>
      <c r="O172" s="1161"/>
      <c r="P172" s="1161"/>
      <c r="Q172" s="1161"/>
      <c r="R172" s="1637"/>
      <c r="S172" s="1161"/>
      <c r="T172" s="1161"/>
      <c r="U172" s="545"/>
      <c r="V172" s="1161"/>
      <c r="W172" s="1161"/>
      <c r="X172" s="1161"/>
      <c r="Y172" s="1161"/>
      <c r="Z172" s="1161"/>
      <c r="AA172" s="1633"/>
      <c r="AB172" s="567"/>
      <c r="AC172" s="567"/>
      <c r="AD172" s="567"/>
      <c r="AE172" s="567"/>
      <c r="AF172" s="1642">
        <v>11</v>
      </c>
    </row>
    <row s="1642" customFormat="1" customHeight="1" ht="11.549999999999999">
      <c r="A173" s="988"/>
      <c r="B173" s="1637"/>
      <c r="C173" s="1637"/>
      <c r="D173" s="352"/>
      <c r="K173" s="1161"/>
      <c r="L173" s="1637"/>
      <c r="M173" s="1637"/>
      <c r="N173" s="1161"/>
      <c r="O173" s="1161"/>
      <c r="P173" s="1161"/>
      <c r="Q173" s="1161"/>
      <c r="R173" s="1637"/>
      <c r="S173" s="1161"/>
      <c r="T173" s="1161"/>
      <c r="U173" s="545"/>
      <c r="V173" s="1161"/>
      <c r="W173" s="1161"/>
      <c r="X173" s="1161"/>
      <c r="Y173" s="1161"/>
      <c r="Z173" s="1161"/>
      <c r="AA173" s="1633"/>
      <c r="AB173" s="567"/>
      <c r="AC173" s="567"/>
      <c r="AD173" s="567"/>
      <c r="AE173" s="567"/>
      <c r="AF173" s="1642">
        <v>11</v>
      </c>
    </row>
    <row s="1642" customFormat="1" customHeight="1" ht="11.549999999999999">
      <c r="A174" s="988"/>
      <c r="B174" s="1637"/>
      <c r="C174" s="1637"/>
      <c r="D174" s="352"/>
      <c r="K174" s="1161"/>
      <c r="L174" s="1637"/>
      <c r="M174" s="1637"/>
      <c r="N174" s="1161"/>
      <c r="O174" s="1161"/>
      <c r="P174" s="1161"/>
      <c r="Q174" s="1161"/>
      <c r="R174" s="1637"/>
      <c r="S174" s="1161"/>
      <c r="T174" s="1161"/>
      <c r="U174" s="545"/>
      <c r="V174" s="1161"/>
      <c r="W174" s="1161"/>
      <c r="X174" s="1161"/>
      <c r="Y174" s="1161"/>
      <c r="Z174" s="1161"/>
      <c r="AA174" s="1633"/>
      <c r="AB174" s="567"/>
      <c r="AC174" s="567"/>
      <c r="AD174" s="567"/>
      <c r="AE174" s="567"/>
      <c r="AF174" s="1642">
        <v>11</v>
      </c>
    </row>
    <row s="1642" customFormat="1" customHeight="1" ht="11.549999999999999">
      <c r="A175" s="988"/>
      <c r="B175" s="1637"/>
      <c r="C175" s="1637"/>
      <c r="D175" s="352"/>
      <c r="K175" s="1161"/>
      <c r="L175" s="1637"/>
      <c r="M175" s="1637"/>
      <c r="N175" s="1161"/>
      <c r="O175" s="1161"/>
      <c r="P175" s="1161"/>
      <c r="Q175" s="1161"/>
      <c r="R175" s="1637"/>
      <c r="S175" s="1161"/>
      <c r="T175" s="1161"/>
      <c r="U175" s="545"/>
      <c r="V175" s="1161"/>
      <c r="W175" s="1161"/>
      <c r="X175" s="1161"/>
      <c r="Y175" s="1161"/>
      <c r="Z175" s="1161"/>
      <c r="AA175" s="1633"/>
      <c r="AB175" s="567"/>
      <c r="AC175" s="567"/>
      <c r="AD175" s="567"/>
      <c r="AE175" s="567"/>
      <c r="AF175" s="1642">
        <v>11</v>
      </c>
    </row>
    <row s="1642" customFormat="1" customHeight="1" ht="11.549999999999999">
      <c r="A176" s="988"/>
      <c r="B176" s="1637"/>
      <c r="C176" s="1637"/>
      <c r="D176" s="352"/>
      <c r="K176" s="1161"/>
      <c r="L176" s="1637"/>
      <c r="M176" s="1637"/>
      <c r="N176" s="1161"/>
      <c r="O176" s="1161"/>
      <c r="P176" s="1161"/>
      <c r="Q176" s="1161"/>
      <c r="R176" s="1637"/>
      <c r="S176" s="1161"/>
      <c r="T176" s="1161"/>
      <c r="U176" s="545"/>
      <c r="V176" s="1161"/>
      <c r="W176" s="1161"/>
      <c r="X176" s="1161"/>
      <c r="Y176" s="1161"/>
      <c r="Z176" s="1161"/>
      <c r="AA176" s="1633"/>
      <c r="AB176" s="567"/>
      <c r="AC176" s="567"/>
      <c r="AD176" s="567"/>
      <c r="AE176" s="567"/>
      <c r="AF176" s="1642">
        <v>11</v>
      </c>
    </row>
    <row s="1642" customFormat="1" customHeight="1" ht="11.549999999999999">
      <c r="A177" s="988"/>
      <c r="B177" s="1637"/>
      <c r="C177" s="1637"/>
      <c r="D177" s="352"/>
      <c r="K177" s="1161"/>
      <c r="L177" s="1637"/>
      <c r="M177" s="1637"/>
      <c r="N177" s="1161"/>
      <c r="O177" s="1161"/>
      <c r="P177" s="1161"/>
      <c r="Q177" s="1161"/>
      <c r="R177" s="1637"/>
      <c r="S177" s="1161"/>
      <c r="T177" s="1161"/>
      <c r="U177" s="545"/>
      <c r="V177" s="1161"/>
      <c r="W177" s="1161"/>
      <c r="X177" s="1161"/>
      <c r="Y177" s="1161"/>
      <c r="Z177" s="1161"/>
      <c r="AA177" s="1633"/>
      <c r="AB177" s="567"/>
      <c r="AC177" s="567"/>
      <c r="AD177" s="567"/>
      <c r="AE177" s="567"/>
      <c r="AF177" s="1642">
        <v>11</v>
      </c>
    </row>
    <row s="1642" customFormat="1" customHeight="1" ht="11.549999999999999">
      <c r="A178" s="988"/>
      <c r="B178" s="1637"/>
      <c r="C178" s="1637"/>
      <c r="D178" s="352"/>
      <c r="K178" s="1161"/>
      <c r="L178" s="1637"/>
      <c r="M178" s="1637"/>
      <c r="N178" s="1161"/>
      <c r="O178" s="1161"/>
      <c r="P178" s="1161"/>
      <c r="Q178" s="1161"/>
      <c r="R178" s="1637"/>
      <c r="S178" s="1161"/>
      <c r="T178" s="1161"/>
      <c r="U178" s="545"/>
      <c r="V178" s="1161"/>
      <c r="W178" s="1161"/>
      <c r="X178" s="1161"/>
      <c r="Y178" s="1161"/>
      <c r="Z178" s="1161"/>
      <c r="AA178" s="1633"/>
      <c r="AB178" s="567"/>
      <c r="AC178" s="567"/>
      <c r="AD178" s="567"/>
      <c r="AE178" s="567"/>
      <c r="AF178" s="1642">
        <v>11</v>
      </c>
    </row>
    <row s="1642" customFormat="1" customHeight="1" ht="11.549999999999999">
      <c r="A179" s="988"/>
      <c r="B179" s="1637"/>
      <c r="C179" s="1637"/>
      <c r="D179" s="352"/>
      <c r="K179" s="1161"/>
      <c r="L179" s="1637"/>
      <c r="M179" s="1637"/>
      <c r="N179" s="1161"/>
      <c r="O179" s="1161"/>
      <c r="P179" s="1161"/>
      <c r="Q179" s="1161"/>
      <c r="R179" s="1637"/>
      <c r="S179" s="1161"/>
      <c r="T179" s="1161"/>
      <c r="U179" s="545"/>
      <c r="V179" s="1161"/>
      <c r="W179" s="1161"/>
      <c r="X179" s="1161"/>
      <c r="Y179" s="1161"/>
      <c r="Z179" s="1161"/>
      <c r="AA179" s="1633"/>
      <c r="AB179" s="567"/>
      <c r="AC179" s="567"/>
      <c r="AD179" s="567"/>
      <c r="AE179" s="567"/>
      <c r="AF179" s="1642">
        <v>11</v>
      </c>
    </row>
    <row s="1642" customFormat="1" customHeight="1" ht="11.549999999999999">
      <c r="A180" s="988"/>
      <c r="B180" s="1637"/>
      <c r="C180" s="1637"/>
      <c r="D180" s="352"/>
      <c r="K180" s="1161"/>
      <c r="L180" s="1637"/>
      <c r="M180" s="1637"/>
      <c r="N180" s="1161"/>
      <c r="O180" s="1161"/>
      <c r="P180" s="1161"/>
      <c r="Q180" s="1161"/>
      <c r="R180" s="1637"/>
      <c r="S180" s="1161"/>
      <c r="T180" s="1161"/>
      <c r="U180" s="545"/>
      <c r="V180" s="1161"/>
      <c r="W180" s="1161"/>
      <c r="X180" s="1161"/>
      <c r="Y180" s="1161"/>
      <c r="Z180" s="1161"/>
      <c r="AA180" s="1633"/>
      <c r="AB180" s="567"/>
      <c r="AC180" s="567"/>
      <c r="AD180" s="567"/>
      <c r="AE180" s="567"/>
      <c r="AF180" s="1642">
        <v>11</v>
      </c>
    </row>
    <row s="1642" customFormat="1" customHeight="1" ht="11.549999999999999">
      <c r="A181" s="988"/>
      <c r="B181" s="1637"/>
      <c r="C181" s="1637"/>
      <c r="D181" s="352"/>
      <c r="K181" s="1161"/>
      <c r="L181" s="1637"/>
      <c r="M181" s="1637"/>
      <c r="N181" s="1161"/>
      <c r="O181" s="1161"/>
      <c r="P181" s="1161"/>
      <c r="Q181" s="1161"/>
      <c r="R181" s="1637"/>
      <c r="S181" s="1161"/>
      <c r="T181" s="1161"/>
      <c r="U181" s="545"/>
      <c r="V181" s="1161"/>
      <c r="W181" s="1161"/>
      <c r="X181" s="1161"/>
      <c r="Y181" s="1161"/>
      <c r="Z181" s="1161"/>
      <c r="AA181" s="1633"/>
      <c r="AB181" s="567"/>
      <c r="AC181" s="567"/>
      <c r="AD181" s="567"/>
      <c r="AE181" s="567"/>
      <c r="AF181" s="1642">
        <v>11</v>
      </c>
    </row>
    <row s="1642" customFormat="1" customHeight="1" ht="11.549999999999999">
      <c r="A182" s="988"/>
      <c r="B182" s="1637"/>
      <c r="C182" s="1637"/>
      <c r="D182" s="352"/>
      <c r="K182" s="1161"/>
      <c r="L182" s="1637"/>
      <c r="M182" s="1637"/>
      <c r="N182" s="1161"/>
      <c r="O182" s="1161"/>
      <c r="P182" s="1161"/>
      <c r="Q182" s="1161"/>
      <c r="R182" s="1637"/>
      <c r="S182" s="1161"/>
      <c r="T182" s="1161"/>
      <c r="U182" s="545"/>
      <c r="V182" s="1161"/>
      <c r="W182" s="1161"/>
      <c r="X182" s="1161"/>
      <c r="Y182" s="1161"/>
      <c r="Z182" s="1161"/>
      <c r="AA182" s="1633"/>
      <c r="AB182" s="567"/>
      <c r="AC182" s="567"/>
      <c r="AD182" s="567"/>
      <c r="AE182" s="567"/>
      <c r="AF182" s="1642">
        <v>11</v>
      </c>
    </row>
    <row s="1642" customFormat="1" customHeight="1" ht="11.549999999999999">
      <c r="A183" s="988"/>
      <c r="B183" s="1637"/>
      <c r="C183" s="1637"/>
      <c r="D183" s="352"/>
      <c r="K183" s="1161"/>
      <c r="L183" s="1637"/>
      <c r="M183" s="1637"/>
      <c r="N183" s="1161"/>
      <c r="O183" s="1161"/>
      <c r="P183" s="1161"/>
      <c r="Q183" s="1161"/>
      <c r="R183" s="1637"/>
      <c r="S183" s="1161"/>
      <c r="T183" s="1161"/>
      <c r="U183" s="545"/>
      <c r="V183" s="1161"/>
      <c r="W183" s="1161"/>
      <c r="X183" s="1161"/>
      <c r="Y183" s="1161"/>
      <c r="Z183" s="1161"/>
      <c r="AA183" s="1633"/>
      <c r="AB183" s="567"/>
      <c r="AC183" s="567"/>
      <c r="AD183" s="567"/>
      <c r="AE183" s="567"/>
      <c r="AF183" s="1642">
        <v>11</v>
      </c>
    </row>
    <row s="1642" customFormat="1" customHeight="1" ht="11.549999999999999">
      <c r="A184" s="988"/>
      <c r="B184" s="1637"/>
      <c r="C184" s="1637"/>
      <c r="D184" s="352"/>
      <c r="K184" s="1161"/>
      <c r="L184" s="1637"/>
      <c r="M184" s="1637"/>
      <c r="N184" s="1161"/>
      <c r="O184" s="1161"/>
      <c r="P184" s="1161"/>
      <c r="Q184" s="1161"/>
      <c r="R184" s="1637"/>
      <c r="S184" s="1161"/>
      <c r="T184" s="1161"/>
      <c r="U184" s="545"/>
      <c r="V184" s="1161"/>
      <c r="W184" s="1161"/>
      <c r="X184" s="1161"/>
      <c r="Y184" s="1161"/>
      <c r="Z184" s="1161"/>
      <c r="AA184" s="1633"/>
      <c r="AB184" s="567"/>
      <c r="AC184" s="567"/>
      <c r="AD184" s="567"/>
      <c r="AE184" s="567"/>
      <c r="AF184" s="1642">
        <v>11</v>
      </c>
    </row>
    <row s="1642" customFormat="1" customHeight="1" ht="11.549999999999999">
      <c r="A185" s="988"/>
      <c r="B185" s="1637"/>
      <c r="C185" s="1637"/>
      <c r="D185" s="352"/>
      <c r="K185" s="1161"/>
      <c r="L185" s="1637"/>
      <c r="M185" s="1637"/>
      <c r="N185" s="1161"/>
      <c r="O185" s="1161"/>
      <c r="P185" s="1161"/>
      <c r="Q185" s="1161"/>
      <c r="R185" s="1637"/>
      <c r="S185" s="1161"/>
      <c r="T185" s="1161"/>
      <c r="U185" s="545"/>
      <c r="V185" s="1161"/>
      <c r="W185" s="1161"/>
      <c r="X185" s="1161"/>
      <c r="Y185" s="1161"/>
      <c r="Z185" s="1161"/>
      <c r="AA185" s="1633"/>
      <c r="AB185" s="567"/>
      <c r="AC185" s="567"/>
      <c r="AD185" s="567"/>
      <c r="AE185" s="567"/>
      <c r="AF185" s="1642">
        <v>11</v>
      </c>
    </row>
    <row s="1642" customFormat="1" customHeight="1" ht="11.549999999999999">
      <c r="A186" s="988"/>
      <c r="B186" s="1637"/>
      <c r="C186" s="1637"/>
      <c r="D186" s="352"/>
      <c r="K186" s="1161"/>
      <c r="L186" s="1637"/>
      <c r="M186" s="1637"/>
      <c r="N186" s="1161"/>
      <c r="O186" s="1161"/>
      <c r="P186" s="1161"/>
      <c r="Q186" s="1161"/>
      <c r="R186" s="1637"/>
      <c r="S186" s="1161"/>
      <c r="T186" s="1161"/>
      <c r="U186" s="545"/>
      <c r="V186" s="1161"/>
      <c r="W186" s="1161"/>
      <c r="X186" s="1161"/>
      <c r="Y186" s="1161"/>
      <c r="Z186" s="1161"/>
      <c r="AA186" s="1633"/>
      <c r="AB186" s="567"/>
      <c r="AC186" s="567"/>
      <c r="AD186" s="567"/>
      <c r="AE186" s="567"/>
      <c r="AF186" s="1642">
        <v>11</v>
      </c>
    </row>
    <row s="1642" customFormat="1" customHeight="1" ht="11.549999999999999">
      <c r="A187" s="988"/>
      <c r="B187" s="1637"/>
      <c r="C187" s="1637"/>
      <c r="D187" s="352"/>
      <c r="K187" s="1161"/>
      <c r="L187" s="1637"/>
      <c r="M187" s="1637"/>
      <c r="N187" s="1161"/>
      <c r="O187" s="1161"/>
      <c r="P187" s="1161"/>
      <c r="Q187" s="1161"/>
      <c r="R187" s="1637"/>
      <c r="S187" s="1161"/>
      <c r="T187" s="1161"/>
      <c r="U187" s="545"/>
      <c r="V187" s="1161"/>
      <c r="W187" s="1161"/>
      <c r="X187" s="1161"/>
      <c r="Y187" s="1161"/>
      <c r="Z187" s="1161"/>
      <c r="AA187" s="1633"/>
      <c r="AB187" s="567"/>
      <c r="AC187" s="567"/>
      <c r="AD187" s="567"/>
      <c r="AE187" s="567"/>
      <c r="AF187" s="1642">
        <v>11</v>
      </c>
    </row>
    <row s="1642" customFormat="1" customHeight="1" ht="11.549999999999999">
      <c r="A188" s="988"/>
      <c r="B188" s="1637"/>
      <c r="C188" s="1637"/>
      <c r="D188" s="352"/>
      <c r="K188" s="1161"/>
      <c r="L188" s="1637"/>
      <c r="M188" s="1637"/>
      <c r="N188" s="1161"/>
      <c r="O188" s="1161"/>
      <c r="P188" s="1161"/>
      <c r="Q188" s="1161"/>
      <c r="R188" s="1637"/>
      <c r="S188" s="1161"/>
      <c r="T188" s="1161"/>
      <c r="U188" s="545"/>
      <c r="V188" s="1161"/>
      <c r="W188" s="1161"/>
      <c r="X188" s="1161"/>
      <c r="Y188" s="1161"/>
      <c r="Z188" s="1161"/>
      <c r="AA188" s="1633"/>
      <c r="AB188" s="567"/>
      <c r="AC188" s="567"/>
      <c r="AD188" s="567"/>
      <c r="AE188" s="567"/>
      <c r="AF188" s="1642">
        <v>11</v>
      </c>
    </row>
    <row s="1642" customFormat="1" customHeight="1" ht="11.549999999999999">
      <c r="A189" s="988"/>
      <c r="B189" s="1637"/>
      <c r="C189" s="1637"/>
      <c r="D189" s="352"/>
      <c r="K189" s="1161"/>
      <c r="L189" s="1637"/>
      <c r="M189" s="1637"/>
      <c r="N189" s="1161"/>
      <c r="O189" s="1161"/>
      <c r="P189" s="1161"/>
      <c r="Q189" s="1161"/>
      <c r="R189" s="1637"/>
      <c r="S189" s="1161"/>
      <c r="T189" s="1161"/>
      <c r="U189" s="545"/>
      <c r="V189" s="1161"/>
      <c r="W189" s="1161"/>
      <c r="X189" s="1161"/>
      <c r="Y189" s="1161"/>
      <c r="Z189" s="1161"/>
      <c r="AA189" s="1633"/>
      <c r="AB189" s="567"/>
      <c r="AC189" s="567"/>
      <c r="AD189" s="567"/>
      <c r="AE189" s="567"/>
      <c r="AF189" s="1642">
        <v>11</v>
      </c>
    </row>
    <row s="1642" customFormat="1" customHeight="1" ht="11.549999999999999">
      <c r="A190" s="988"/>
      <c r="B190" s="1637"/>
      <c r="C190" s="1637"/>
      <c r="D190" s="352"/>
      <c r="K190" s="1161"/>
      <c r="L190" s="1637"/>
      <c r="M190" s="1637"/>
      <c r="N190" s="1161"/>
      <c r="O190" s="1161"/>
      <c r="P190" s="1161"/>
      <c r="Q190" s="1161"/>
      <c r="R190" s="1637"/>
      <c r="S190" s="1161"/>
      <c r="T190" s="1161"/>
      <c r="U190" s="545"/>
      <c r="V190" s="1161"/>
      <c r="W190" s="1161"/>
      <c r="X190" s="1161"/>
      <c r="Y190" s="1161"/>
      <c r="Z190" s="1161"/>
      <c r="AA190" s="1633"/>
      <c r="AB190" s="567"/>
      <c r="AC190" s="567"/>
      <c r="AD190" s="567"/>
      <c r="AE190" s="567"/>
      <c r="AF190" s="1642">
        <v>11</v>
      </c>
    </row>
    <row s="1642" customFormat="1" customHeight="1" ht="11.549999999999999">
      <c r="A191" s="988"/>
      <c r="B191" s="1637"/>
      <c r="C191" s="1637"/>
      <c r="D191" s="352"/>
      <c r="K191" s="1161"/>
      <c r="L191" s="1637"/>
      <c r="M191" s="1637"/>
      <c r="N191" s="1161"/>
      <c r="O191" s="1161"/>
      <c r="P191" s="1161"/>
      <c r="Q191" s="1161"/>
      <c r="R191" s="1637"/>
      <c r="S191" s="1161"/>
      <c r="T191" s="1161"/>
      <c r="U191" s="545"/>
      <c r="V191" s="1161"/>
      <c r="W191" s="1161"/>
      <c r="X191" s="1161"/>
      <c r="Y191" s="1161"/>
      <c r="Z191" s="1161"/>
      <c r="AA191" s="1633"/>
      <c r="AB191" s="567"/>
      <c r="AC191" s="567"/>
      <c r="AD191" s="567"/>
      <c r="AE191" s="567"/>
      <c r="AF191" s="1642">
        <v>11</v>
      </c>
    </row>
    <row s="1642" customFormat="1" customHeight="1" ht="11.549999999999999">
      <c r="A192" s="988"/>
      <c r="B192" s="1637"/>
      <c r="C192" s="1637"/>
      <c r="D192" s="352"/>
      <c r="K192" s="1161"/>
      <c r="L192" s="1637"/>
      <c r="M192" s="1637"/>
      <c r="N192" s="1161"/>
      <c r="O192" s="1161"/>
      <c r="P192" s="1161"/>
      <c r="Q192" s="1161"/>
      <c r="R192" s="1637"/>
      <c r="S192" s="1161"/>
      <c r="T192" s="1161"/>
      <c r="U192" s="545"/>
      <c r="V192" s="1161"/>
      <c r="W192" s="1161"/>
      <c r="X192" s="1161"/>
      <c r="Y192" s="1161"/>
      <c r="Z192" s="1161"/>
      <c r="AA192" s="1633"/>
      <c r="AB192" s="567"/>
      <c r="AC192" s="567"/>
      <c r="AD192" s="567"/>
      <c r="AE192" s="567"/>
      <c r="AF192" s="1642">
        <v>11</v>
      </c>
    </row>
    <row s="1642" customFormat="1" customHeight="1" ht="11.549999999999999">
      <c r="A193" s="988"/>
      <c r="B193" s="1637"/>
      <c r="C193" s="1637"/>
      <c r="D193" s="352"/>
      <c r="K193" s="1161"/>
      <c r="L193" s="1637"/>
      <c r="M193" s="1637"/>
      <c r="N193" s="1161"/>
      <c r="O193" s="1161"/>
      <c r="P193" s="1161"/>
      <c r="Q193" s="1161"/>
      <c r="R193" s="1637"/>
      <c r="S193" s="1161"/>
      <c r="T193" s="1161"/>
      <c r="U193" s="545"/>
      <c r="V193" s="1161"/>
      <c r="W193" s="1161"/>
      <c r="X193" s="1161"/>
      <c r="Y193" s="1161"/>
      <c r="Z193" s="1161"/>
      <c r="AA193" s="1633"/>
      <c r="AB193" s="567"/>
      <c r="AC193" s="567"/>
      <c r="AD193" s="567"/>
      <c r="AE193" s="567"/>
      <c r="AF193" s="1642">
        <v>11</v>
      </c>
    </row>
    <row s="1642" customFormat="1" customHeight="1" ht="11.549999999999999">
      <c r="A194" s="988"/>
      <c r="B194" s="1637"/>
      <c r="C194" s="1637"/>
      <c r="D194" s="352"/>
      <c r="K194" s="1161"/>
      <c r="L194" s="1637"/>
      <c r="M194" s="1637"/>
      <c r="N194" s="1161"/>
      <c r="O194" s="1161"/>
      <c r="P194" s="1161"/>
      <c r="Q194" s="1161"/>
      <c r="R194" s="1637"/>
      <c r="S194" s="1161"/>
      <c r="T194" s="1161"/>
      <c r="U194" s="545"/>
      <c r="V194" s="1161"/>
      <c r="W194" s="1161"/>
      <c r="X194" s="1161"/>
      <c r="Y194" s="1161"/>
      <c r="Z194" s="1161"/>
      <c r="AA194" s="1633"/>
      <c r="AB194" s="567"/>
      <c r="AC194" s="567"/>
      <c r="AD194" s="567"/>
      <c r="AE194" s="567"/>
      <c r="AF194" s="1642">
        <v>11</v>
      </c>
    </row>
    <row s="1642" customFormat="1" customHeight="1" ht="11.549999999999999">
      <c r="A195" s="988"/>
      <c r="B195" s="1637"/>
      <c r="C195" s="1637"/>
      <c r="D195" s="352"/>
      <c r="K195" s="1161"/>
      <c r="L195" s="1637"/>
      <c r="M195" s="1637"/>
      <c r="N195" s="1161"/>
      <c r="O195" s="1161"/>
      <c r="P195" s="1161"/>
      <c r="Q195" s="1161"/>
      <c r="R195" s="1637"/>
      <c r="S195" s="1161"/>
      <c r="T195" s="1161"/>
      <c r="U195" s="545"/>
      <c r="V195" s="1161"/>
      <c r="W195" s="1161"/>
      <c r="X195" s="1161"/>
      <c r="Y195" s="1161"/>
      <c r="Z195" s="1161"/>
      <c r="AA195" s="1633"/>
      <c r="AB195" s="567"/>
      <c r="AC195" s="567"/>
      <c r="AD195" s="567"/>
      <c r="AE195" s="567"/>
      <c r="AF195" s="1642">
        <v>11</v>
      </c>
    </row>
    <row customHeight="1" ht="11.549999999999999">
      <c r="AF196" s="1632">
        <v>11</v>
      </c>
    </row>
    <row customHeight="1" ht="11.549999999999999">
      <c r="AF197" s="1632">
        <v>11</v>
      </c>
    </row>
    <row customHeight="1" ht="11.549999999999999">
      <c r="AF198" s="1632">
        <v>11</v>
      </c>
    </row>
    <row customHeight="1" ht="11.549999999999999">
      <c r="A199" s="991"/>
      <c r="B199" s="1632"/>
      <c r="D199" s="1632"/>
      <c r="K199" s="1632"/>
      <c r="N199" s="1632"/>
      <c r="O199" s="1632"/>
      <c r="P199" s="1632"/>
      <c r="Q199" s="1632"/>
      <c r="S199" s="1632"/>
      <c r="T199" s="1632"/>
      <c r="U199" s="1632"/>
      <c r="V199" s="1632"/>
      <c r="W199" s="1632"/>
      <c r="X199" s="1632"/>
      <c r="Y199" s="1632"/>
      <c r="Z199" s="1632"/>
      <c r="AA199" s="1632"/>
      <c r="AB199" s="1632"/>
      <c r="AC199" s="1632"/>
      <c r="AD199" s="1632"/>
      <c r="AE199" s="1632"/>
      <c r="AF199" s="1632">
        <v>11</v>
      </c>
    </row>
    <row customHeight="1" ht="11.549999999999999">
      <c r="A200" s="991"/>
      <c r="B200" s="1632"/>
      <c r="D200" s="1632"/>
      <c r="K200" s="1632"/>
      <c r="N200" s="1632"/>
      <c r="O200" s="1632"/>
      <c r="P200" s="1632"/>
      <c r="Q200" s="1632"/>
      <c r="S200" s="1632"/>
      <c r="T200" s="1632"/>
      <c r="U200" s="1632"/>
      <c r="V200" s="1632"/>
      <c r="W200" s="1632"/>
      <c r="X200" s="1632"/>
      <c r="Y200" s="1632"/>
      <c r="Z200" s="1632"/>
      <c r="AA200" s="1632"/>
      <c r="AB200" s="1632"/>
      <c r="AC200" s="1632"/>
      <c r="AD200" s="1632"/>
      <c r="AE200" s="1632"/>
      <c r="AF200" s="1632">
        <v>11</v>
      </c>
    </row>
    <row customHeight="1" ht="11.549999999999999">
      <c r="A201" s="991"/>
      <c r="B201" s="1632"/>
      <c r="D201" s="1632"/>
      <c r="K201" s="1632"/>
      <c r="N201" s="1632"/>
      <c r="O201" s="1632"/>
      <c r="P201" s="1632"/>
      <c r="Q201" s="1632"/>
      <c r="S201" s="1632"/>
      <c r="T201" s="1632"/>
      <c r="U201" s="1632"/>
      <c r="V201" s="1632"/>
      <c r="W201" s="1632"/>
      <c r="X201" s="1632"/>
      <c r="Y201" s="1632"/>
      <c r="Z201" s="1632"/>
      <c r="AA201" s="1632"/>
      <c r="AB201" s="1632"/>
      <c r="AC201" s="1632"/>
      <c r="AD201" s="1632"/>
      <c r="AE201" s="1632"/>
      <c r="AF201" s="1632">
        <v>11</v>
      </c>
    </row>
    <row customHeight="1" ht="11.549999999999999">
      <c r="A202" s="991"/>
      <c r="B202" s="1632"/>
      <c r="D202" s="1632"/>
      <c r="K202" s="1632"/>
      <c r="N202" s="1632"/>
      <c r="O202" s="1632"/>
      <c r="P202" s="1632"/>
      <c r="Q202" s="1632"/>
      <c r="S202" s="1632"/>
      <c r="T202" s="1632"/>
      <c r="U202" s="1632"/>
      <c r="V202" s="1632"/>
      <c r="W202" s="1632"/>
      <c r="X202" s="1632"/>
      <c r="Y202" s="1632"/>
      <c r="Z202" s="1632"/>
      <c r="AA202" s="1632"/>
      <c r="AB202" s="1632"/>
      <c r="AC202" s="1632"/>
      <c r="AD202" s="1632"/>
      <c r="AE202" s="1632"/>
      <c r="AF202" s="1632">
        <v>11</v>
      </c>
    </row>
    <row customHeight="1" ht="11.549999999999999">
      <c r="A203" s="991"/>
      <c r="B203" s="1632"/>
      <c r="D203" s="1632"/>
      <c r="K203" s="1632"/>
      <c r="N203" s="1632"/>
      <c r="O203" s="1632"/>
      <c r="P203" s="1632"/>
      <c r="Q203" s="1632"/>
      <c r="S203" s="1632"/>
      <c r="T203" s="1632"/>
      <c r="U203" s="1632"/>
      <c r="V203" s="1632"/>
      <c r="W203" s="1632"/>
      <c r="X203" s="1632"/>
      <c r="Y203" s="1632"/>
      <c r="Z203" s="1632"/>
      <c r="AA203" s="1632"/>
      <c r="AB203" s="1632"/>
      <c r="AC203" s="1632"/>
      <c r="AD203" s="1632"/>
      <c r="AE203" s="1632"/>
      <c r="AF203" s="1632">
        <v>11</v>
      </c>
    </row>
    <row customHeight="1" ht="11.549999999999999">
      <c r="A204" s="991"/>
      <c r="B204" s="1632"/>
      <c r="D204" s="1632"/>
      <c r="K204" s="1632"/>
      <c r="N204" s="1632"/>
      <c r="O204" s="1632"/>
      <c r="P204" s="1632"/>
      <c r="Q204" s="1632"/>
      <c r="S204" s="1632"/>
      <c r="T204" s="1632"/>
      <c r="U204" s="1632"/>
      <c r="V204" s="1632"/>
      <c r="W204" s="1632"/>
      <c r="X204" s="1632"/>
      <c r="Y204" s="1632"/>
      <c r="Z204" s="1632"/>
      <c r="AA204" s="1632"/>
      <c r="AB204" s="1632"/>
      <c r="AC204" s="1632"/>
      <c r="AD204" s="1632"/>
      <c r="AE204" s="1632"/>
      <c r="AF204" s="1632">
        <v>11</v>
      </c>
    </row>
    <row customHeight="1" ht="11.549999999999999">
      <c r="A205" s="991"/>
      <c r="B205" s="1632"/>
      <c r="D205" s="1632"/>
      <c r="K205" s="1632"/>
      <c r="N205" s="1632"/>
      <c r="O205" s="1632"/>
      <c r="P205" s="1632"/>
      <c r="Q205" s="1632"/>
      <c r="S205" s="1632"/>
      <c r="T205" s="1632"/>
      <c r="U205" s="1632"/>
      <c r="V205" s="1632"/>
      <c r="W205" s="1632"/>
      <c r="X205" s="1632"/>
      <c r="Y205" s="1632"/>
      <c r="Z205" s="1632"/>
      <c r="AA205" s="1632"/>
      <c r="AB205" s="1632"/>
      <c r="AC205" s="1632"/>
      <c r="AD205" s="1632"/>
      <c r="AE205" s="1632"/>
      <c r="AF205" s="1632">
        <v>11</v>
      </c>
    </row>
    <row customHeight="1" ht="11.549999999999999">
      <c r="A206" s="991"/>
      <c r="B206" s="1632"/>
      <c r="D206" s="1632"/>
      <c r="K206" s="1632"/>
      <c r="N206" s="1632"/>
      <c r="O206" s="1632"/>
      <c r="P206" s="1632"/>
      <c r="Q206" s="1632"/>
      <c r="S206" s="1632"/>
      <c r="T206" s="1632"/>
      <c r="U206" s="1632"/>
      <c r="V206" s="1632"/>
      <c r="W206" s="1632"/>
      <c r="X206" s="1632"/>
      <c r="Y206" s="1632"/>
      <c r="Z206" s="1632"/>
      <c r="AA206" s="1632"/>
      <c r="AB206" s="1632"/>
      <c r="AC206" s="1632"/>
      <c r="AD206" s="1632"/>
      <c r="AE206" s="1632"/>
      <c r="AF206" s="1632">
        <v>11</v>
      </c>
    </row>
    <row customHeight="1" ht="11.549999999999999">
      <c r="A207" s="991"/>
      <c r="B207" s="1632"/>
      <c r="D207" s="1632"/>
      <c r="K207" s="1632"/>
      <c r="N207" s="1632"/>
      <c r="O207" s="1632"/>
      <c r="P207" s="1632"/>
      <c r="Q207" s="1632"/>
      <c r="S207" s="1632"/>
      <c r="T207" s="1632"/>
      <c r="U207" s="1632"/>
      <c r="V207" s="1632"/>
      <c r="W207" s="1632"/>
      <c r="X207" s="1632"/>
      <c r="Y207" s="1632"/>
      <c r="Z207" s="1632"/>
      <c r="AA207" s="1632"/>
      <c r="AB207" s="1632"/>
      <c r="AC207" s="1632"/>
      <c r="AD207" s="1632"/>
      <c r="AE207" s="1632"/>
      <c r="AF207" s="1632">
        <v>11</v>
      </c>
    </row>
    <row customHeight="1" ht="11.549999999999999">
      <c r="A208" s="991"/>
      <c r="B208" s="1632"/>
      <c r="D208" s="1632"/>
      <c r="K208" s="1632"/>
      <c r="N208" s="1632"/>
      <c r="O208" s="1632"/>
      <c r="P208" s="1632"/>
      <c r="Q208" s="1632"/>
      <c r="S208" s="1632"/>
      <c r="T208" s="1632"/>
      <c r="U208" s="1632"/>
      <c r="V208" s="1632"/>
      <c r="W208" s="1632"/>
      <c r="X208" s="1632"/>
      <c r="Y208" s="1632"/>
      <c r="Z208" s="1632"/>
      <c r="AA208" s="1632"/>
      <c r="AB208" s="1632"/>
      <c r="AC208" s="1632"/>
      <c r="AD208" s="1632"/>
      <c r="AE208" s="1632"/>
      <c r="AF208" s="1632">
        <v>11</v>
      </c>
    </row>
    <row customHeight="1" ht="11.549999999999999">
      <c r="A209" s="991"/>
      <c r="B209" s="1632"/>
      <c r="D209" s="1632"/>
      <c r="K209" s="1632"/>
      <c r="N209" s="1632"/>
      <c r="O209" s="1632"/>
      <c r="P209" s="1632"/>
      <c r="Q209" s="1632"/>
      <c r="S209" s="1632"/>
      <c r="T209" s="1632"/>
      <c r="U209" s="1632"/>
      <c r="V209" s="1632"/>
      <c r="W209" s="1632"/>
      <c r="X209" s="1632"/>
      <c r="Y209" s="1632"/>
      <c r="Z209" s="1632"/>
      <c r="AA209" s="1632"/>
      <c r="AB209" s="1632"/>
      <c r="AC209" s="1632"/>
      <c r="AD209" s="1632"/>
      <c r="AE209" s="1632"/>
      <c r="AF209" s="1632">
        <v>11</v>
      </c>
    </row>
    <row customHeight="1" ht="11.25" hidden="1">
      <c r="A210" s="988" t="s">
        <v>83</v>
      </c>
      <c r="B210" s="1161">
        <v>0</v>
      </c>
      <c r="C210" s="1637">
        <v>0</v>
      </c>
      <c r="D210" s="1636">
        <v>3</v>
      </c>
      <c r="E210" s="1632">
        <v>7</v>
      </c>
      <c r="F210" s="1632">
        <v>54</v>
      </c>
      <c r="G210" s="1632">
        <v>10</v>
      </c>
      <c r="H210" s="1632">
        <v>0</v>
      </c>
      <c r="I210" s="1632">
        <v>40</v>
      </c>
      <c r="J210" s="1632">
        <v>102</v>
      </c>
      <c r="K210" s="1161">
        <v>9</v>
      </c>
      <c r="L210" s="1637">
        <v>5</v>
      </c>
      <c r="M210" s="1637">
        <v>3</v>
      </c>
      <c r="N210" s="1161">
        <v>3</v>
      </c>
      <c r="O210" s="1161">
        <v>3</v>
      </c>
      <c r="P210" s="1161">
        <v>3</v>
      </c>
      <c r="Q210" s="1161">
        <v>3</v>
      </c>
      <c r="R210" s="1637">
        <v>10</v>
      </c>
      <c r="S210" s="1161">
        <v>34</v>
      </c>
      <c r="T210" s="1161">
        <v>9</v>
      </c>
      <c r="U210" s="545">
        <v>8</v>
      </c>
      <c r="V210" s="1161">
        <v>8</v>
      </c>
      <c r="W210" s="1161">
        <v>8</v>
      </c>
      <c r="X210" s="1161">
        <v>8</v>
      </c>
      <c r="Y210" s="1161">
        <v>8</v>
      </c>
      <c r="Z210" s="1161">
        <v>8</v>
      </c>
      <c r="AA210" s="1633">
        <v>8</v>
      </c>
      <c r="AB210" s="1633">
        <v>8</v>
      </c>
      <c r="AC210" s="1633">
        <v>8</v>
      </c>
      <c r="AD210" s="1633">
        <v>8</v>
      </c>
      <c r="AE210" s="1633">
        <v>8</v>
      </c>
      <c r="AF210" s="1632">
        <v>11</v>
      </c>
    </row>
  </sheetData>
  <sheetProtection formatColumns="0" formatRows="0" autoFilter="0" sort="0" insertRows="0" insertColumns="1" deleteRows="0" deleteColumns="0"/>
  <mergeCells count="9">
    <mergeCell ref="F40:G40"/>
    <mergeCell ref="E6:I6"/>
    <mergeCell ref="E7:I7"/>
    <mergeCell ref="F10:G10"/>
    <mergeCell ref="J10:J14"/>
    <mergeCell ref="F11:G11"/>
    <mergeCell ref="F12:G12"/>
    <mergeCell ref="E13:G13"/>
    <mergeCell ref="F39:G39"/>
  </mergeCells>
  <dataValidations count="5">
    <dataValidation type="decimal" allowBlank="1" showErrorMessage="1" errorTitle="Ошибка" error="Допускается ввод только действительных чисел!" sqref="H32:I34">
      <formula1>-9.99999999999999E+37</formula1>
      <formula2>9.99999999999999E+37</formula2>
    </dataValidation>
    <dataValidation type="decimal" allowBlank="1" showErrorMessage="1" errorTitle="Ошибка" error="Допускается ввод только действительных чисел!" sqref="H30:I30">
      <formula1>-9.99999999999999E+23</formula1>
      <formula2>9.99999999999999E+23</formula2>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H35:I35">
      <formula1>900</formula1>
    </dataValidation>
    <dataValidation type="decimal" allowBlank="1" showErrorMessage="1" errorTitle="Ошибка" error="Допускается ввод только неотрицательных чисел!" sqref="H31:I31 H2:I2 H15:I15 H17:I27 H36:I37">
      <formula1>0</formula1>
      <formula2>9.99999999999999E+23</formula2>
    </dataValidation>
    <dataValidation type="textLength" operator="lessThanOrEqual" allowBlank="1" showInputMessage="1" showErrorMessage="1" errorTitle="Ошибка" error="Допускается ввод не более 900 символов!" prompt="Введите наименование прочих расходов" sqref="H28:I28">
      <formula1>900</formula1>
    </dataValidation>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2625F1D8-BCA8-8296-4143-6E3F219DE848}" mc:Ignorable="x14ac xr xr2 xr3">
  <sheetPr>
    <tabColor theme="9" tint="-0.25"/>
  </sheetPr>
  <dimension ref="A1:X102"/>
  <sheetViews>
    <sheetView showGridLines="0" zoomScale="90" workbookViewId="0">
      <pane xSplit="8" ySplit="11" topLeftCell="I12" activePane="bottomRight" state="frozen"/>
      <selection pane="bottomLeft" activeCell="A12" sqref="A12"/>
      <selection pane="topRight" activeCell="I1" sqref="I1"/>
      <selection pane="bottomRight" activeCell="A1" sqref="A1"/>
    </sheetView>
  </sheetViews>
  <sheetFormatPr defaultColWidth="10.57421875" customHeight="1" defaultRowHeight="11.25"/>
  <cols>
    <col min="1" max="1" style="1167" width="9.140625" hidden="1" customWidth="1"/>
    <col min="2" max="2" style="1643" width="3.57421875" hidden="1" customWidth="1"/>
    <col min="3" max="3" style="1636" width="3.00390625" customWidth="1"/>
    <col min="4" max="4" style="1636" width="7.00390625" customWidth="1"/>
    <col min="5" max="5" style="1636" width="69.00390625" customWidth="1"/>
    <col min="6" max="6" style="1636" width="10.00390625" customWidth="1"/>
    <col min="7" max="8" style="1636" width="44.00390625" hidden="1" customWidth="1"/>
    <col min="9" max="9" style="1636" width="44.00390625" customWidth="1"/>
    <col min="10" max="10" style="1636" width="43.00390625" customWidth="1"/>
    <col min="11" max="11" style="1636" width="73.00390625" customWidth="1"/>
    <col min="12" max="12" style="1636" width="3.00390625" customWidth="1"/>
    <col min="13" max="23" style="1636" width="10.00390625" customWidth="1"/>
    <col min="24" max="24" style="1636" width="10.57421875" hidden="1"/>
  </cols>
  <sheetData>
    <row s="1367" customFormat="1" customHeight="1" ht="22.5" hidden="1">
      <c r="A1" s="537"/>
      <c r="B1" s="512"/>
      <c r="G1" s="418">
        <v>4</v>
      </c>
      <c r="I1" s="418">
        <v>4</v>
      </c>
      <c r="K1" s="418">
        <v>5</v>
      </c>
      <c r="X1" s="418" t="s">
        <v>14</v>
      </c>
    </row>
    <row customHeight="1" ht="3">
      <c r="X2" s="506">
        <v>3</v>
      </c>
    </row>
    <row customHeight="1" ht="78.75">
      <c r="D3" s="2239" t="str">
        <f>KNE_NAME_FORM</f>
        <v>Форма 12. Информация об основных потребительских характеристиках товаров, услуг регулируемой организации, цены (тарифы) в сфере теплоснабжения на которые подлежат регулированию, об основных потребительских характеристиках товаров (услуг), поставляемых (оказываемых) единой теплоснабжающей организацией в ценовых зонах теплоснабжения, об основных потребительских характеристиках товаров (услуг), поставляемых (оказываемых) теплоснабжающей организацией в ценовых зонах теплоснабжения и теплосетевой организацией в ценовых зонах теплоснабжения</v>
      </c>
      <c r="E3" s="2240"/>
      <c r="F3" s="2241"/>
      <c r="X3" s="506">
        <v>75</v>
      </c>
    </row>
    <row s="1636" customFormat="1" customHeight="1" ht="21">
      <c r="A4" s="952"/>
      <c r="B4" s="512"/>
      <c r="D4" s="2215" t="str">
        <f>IF(org=0,"Не определено",org)</f>
        <v>ПАО "КГК"</v>
      </c>
      <c r="E4" s="2216"/>
      <c r="F4" s="2217"/>
      <c r="X4" s="759">
        <v>20</v>
      </c>
    </row>
    <row customHeight="1" ht="11.549999999999999">
      <c r="C5" s="510"/>
      <c r="D5" s="589"/>
      <c r="E5" s="589"/>
      <c r="F5" s="589"/>
      <c r="G5" s="589"/>
      <c r="H5" s="753"/>
      <c r="I5" s="589"/>
      <c r="J5" s="753"/>
      <c r="K5" s="589"/>
      <c r="X5" s="506">
        <v>11</v>
      </c>
    </row>
    <row customHeight="1" ht="1.05">
      <c r="C6" s="510"/>
      <c r="D6" s="510"/>
      <c r="E6" s="523"/>
      <c r="F6" s="615"/>
      <c r="G6" s="1023"/>
      <c r="H6" s="1023"/>
      <c r="I6" s="1023" t="s">
        <v>125</v>
      </c>
      <c r="J6" s="1023"/>
      <c r="X6" s="506">
        <v>1</v>
      </c>
    </row>
    <row customHeight="1" ht="11.549999999999999">
      <c r="D7" s="712"/>
      <c r="E7" s="2368" t="s">
        <v>114</v>
      </c>
      <c r="F7" s="2369"/>
      <c r="G7" s="2394" t="str">
        <f>IF(G6="","",INDEX(DIFFERENTIATION_UNMERGE_VD,MATCH(G6,DIFFERENTIATION_ID_DIFF,0)))</f>
        <v/>
      </c>
      <c r="H7" s="2395"/>
      <c r="I7" s="2394">
        <f>IF(I6="","",INDEX(DIFFERENTIATION_UNMERGE_VD,MATCH(I6,DIFFERENTIATION_ID_DIFF,0)))</f>
        <v>0</v>
      </c>
      <c r="J7" s="2395"/>
      <c r="K7" s="2176"/>
      <c r="L7" s="510"/>
      <c r="X7" s="506">
        <v>11</v>
      </c>
    </row>
    <row customHeight="1" ht="11.549999999999999">
      <c r="A8" s="705"/>
      <c r="D8" s="712"/>
      <c r="E8" s="2368" t="s">
        <v>583</v>
      </c>
      <c r="F8" s="2369"/>
      <c r="G8" s="2394" t="str">
        <f>IF(G6="","",INDEX(DIFFERENTIATION_UNMERGE_AREA,MATCH(G6,DIFFERENTIATION_ID_DIFF,0)))</f>
        <v/>
      </c>
      <c r="H8" s="2395"/>
      <c r="I8" s="2394" t="str">
        <f>IF(I6="","",INDEX(DIFFERENTIATION_UNMERGE_AREA,MATCH(I6,DIFFERENTIATION_ID_DIFF,0)))</f>
        <v/>
      </c>
      <c r="J8" s="2395"/>
      <c r="K8" s="2200"/>
      <c r="L8" s="510"/>
      <c r="X8" s="506">
        <v>11</v>
      </c>
    </row>
    <row customHeight="1" ht="11.549999999999999">
      <c r="A9" s="705"/>
      <c r="D9" s="712"/>
      <c r="E9" s="2368" t="s">
        <v>584</v>
      </c>
      <c r="F9" s="2369"/>
      <c r="G9" s="2394" t="str">
        <f>IF(G6="","",INDEX(DIFFERENTIATION_UNMERGE_SYSTEM,MATCH(G6,DIFFERENTIATION_ID_DIFF,0)))</f>
        <v/>
      </c>
      <c r="H9" s="2395"/>
      <c r="I9" s="2394" t="str">
        <f>IF(I6="","",INDEX(DIFFERENTIATION_UNMERGE_SYSTEM,MATCH(I6,DIFFERENTIATION_ID_DIFF,0)))</f>
        <v>без дифференциации</v>
      </c>
      <c r="J9" s="2395"/>
      <c r="K9" s="2200"/>
      <c r="L9" s="510"/>
      <c r="X9" s="506">
        <v>11</v>
      </c>
    </row>
    <row s="1636" customFormat="1" customHeight="1" ht="11.549999999999999">
      <c r="A10" s="1022"/>
      <c r="B10" s="512"/>
      <c r="D10" s="2102" t="s">
        <v>317</v>
      </c>
      <c r="E10" s="2103"/>
      <c r="F10" s="2103"/>
      <c r="G10" s="2103"/>
      <c r="H10" s="2103"/>
      <c r="I10" s="2103"/>
      <c r="J10" s="2104"/>
      <c r="K10" s="2200"/>
      <c r="L10" s="510"/>
      <c r="X10" s="759">
        <v>11</v>
      </c>
    </row>
    <row s="1636" customFormat="1" customHeight="1" ht="24">
      <c r="A11" s="2386"/>
      <c r="B11" s="2386"/>
      <c r="C11" s="658"/>
      <c r="D11" s="704" t="s">
        <v>89</v>
      </c>
      <c r="E11" s="706" t="s">
        <v>825</v>
      </c>
      <c r="F11" s="706" t="s">
        <v>585</v>
      </c>
      <c r="G11" s="466" t="s">
        <v>320</v>
      </c>
      <c r="H11" s="466" t="s">
        <v>407</v>
      </c>
      <c r="I11" s="808" t="s">
        <v>320</v>
      </c>
      <c r="J11" s="809" t="s">
        <v>407</v>
      </c>
      <c r="K11" s="2233"/>
      <c r="L11" s="659"/>
      <c r="X11" s="510">
        <v>23</v>
      </c>
    </row>
    <row s="1643" customFormat="1" customHeight="1" ht="10.5">
      <c r="A12" s="953"/>
      <c r="D12" s="1026" t="s">
        <v>118</v>
      </c>
      <c r="E12" s="1026" t="s">
        <v>103</v>
      </c>
      <c r="F12" s="1026" t="s">
        <v>91</v>
      </c>
      <c r="G12" s="1027" t="str">
        <f>G1&amp;".1"</f>
        <v>4.1</v>
      </c>
      <c r="H12" s="1027" t="str">
        <f>G1&amp;".2"</f>
        <v>4.2</v>
      </c>
      <c r="I12" s="1027" t="str">
        <f>I1&amp;".1"</f>
        <v>4.1</v>
      </c>
      <c r="J12" s="1027" t="str">
        <f>I1&amp;".2"</f>
        <v>4.2</v>
      </c>
      <c r="K12" s="1027"/>
      <c r="X12" s="512">
        <v>10</v>
      </c>
    </row>
    <row customHeight="1" ht="22.5">
      <c r="A13" s="2393" t="s">
        <v>826</v>
      </c>
      <c r="D13" s="954" t="s">
        <v>118</v>
      </c>
      <c r="E13" s="280" t="s">
        <v>827</v>
      </c>
      <c r="F13" s="661" t="s">
        <v>828</v>
      </c>
      <c r="G13" s="558"/>
      <c r="H13" s="662"/>
      <c r="I13" s="558"/>
      <c r="J13" s="662"/>
      <c r="K13" s="290" t="s">
        <v>829</v>
      </c>
      <c r="L13" s="721"/>
      <c r="X13" s="506">
        <v>0</v>
      </c>
    </row>
    <row customHeight="1" ht="22.5">
      <c r="A14" s="2393"/>
      <c r="D14" s="540" t="s">
        <v>103</v>
      </c>
      <c r="E14" s="280" t="s">
        <v>830</v>
      </c>
      <c r="F14" s="661" t="s">
        <v>831</v>
      </c>
      <c r="G14" s="558"/>
      <c r="H14" s="663"/>
      <c r="I14" s="558"/>
      <c r="J14" s="663"/>
      <c r="K14" s="290" t="s">
        <v>832</v>
      </c>
      <c r="L14" s="721"/>
      <c r="X14" s="506">
        <v>0</v>
      </c>
    </row>
    <row s="1636" customFormat="1" customHeight="1" ht="78.75">
      <c r="A15" s="2393"/>
      <c r="B15" s="512"/>
      <c r="D15" s="954" t="s">
        <v>91</v>
      </c>
      <c r="E15" s="708" t="s">
        <v>833</v>
      </c>
      <c r="F15" s="951" t="s">
        <v>323</v>
      </c>
      <c r="G15" s="951" t="s">
        <v>323</v>
      </c>
      <c r="H15" s="107"/>
      <c r="I15" s="951" t="s">
        <v>323</v>
      </c>
      <c r="J15" s="107"/>
      <c r="K15" s="290" t="s">
        <v>834</v>
      </c>
      <c r="L15" s="721"/>
      <c r="X15" s="759">
        <v>0</v>
      </c>
    </row>
    <row s="1636" customFormat="1" customHeight="1" ht="22.5">
      <c r="A16" s="2393"/>
      <c r="B16" s="512"/>
      <c r="D16" s="954" t="s">
        <v>341</v>
      </c>
      <c r="E16" s="955" t="s">
        <v>835</v>
      </c>
      <c r="F16" s="951" t="s">
        <v>836</v>
      </c>
      <c r="G16" s="818"/>
      <c r="H16" s="107"/>
      <c r="I16" s="818"/>
      <c r="J16" s="107"/>
      <c r="K16" s="290"/>
      <c r="L16" s="721"/>
      <c r="X16" s="759">
        <v>0</v>
      </c>
    </row>
    <row s="1636" customFormat="1" customHeight="1" ht="22.5">
      <c r="A17" s="2393"/>
      <c r="B17" s="512"/>
      <c r="D17" s="954" t="s">
        <v>349</v>
      </c>
      <c r="E17" s="955" t="s">
        <v>837</v>
      </c>
      <c r="F17" s="951" t="s">
        <v>838</v>
      </c>
      <c r="G17" s="818"/>
      <c r="H17" s="107"/>
      <c r="I17" s="818"/>
      <c r="J17" s="107"/>
      <c r="K17" s="290"/>
      <c r="L17" s="721"/>
      <c r="X17" s="759">
        <v>0</v>
      </c>
    </row>
    <row s="1636" customFormat="1" customHeight="1" ht="33.75">
      <c r="A18" s="2393"/>
      <c r="B18" s="512"/>
      <c r="D18" s="954" t="s">
        <v>351</v>
      </c>
      <c r="E18" s="955" t="s">
        <v>839</v>
      </c>
      <c r="F18" s="951" t="s">
        <v>590</v>
      </c>
      <c r="G18" s="681"/>
      <c r="H18" s="107"/>
      <c r="I18" s="681"/>
      <c r="J18" s="107"/>
      <c r="K18" s="290"/>
      <c r="L18" s="721"/>
      <c r="X18" s="759">
        <v>0</v>
      </c>
    </row>
    <row customHeight="1" ht="101.25">
      <c r="A19" s="2393"/>
      <c r="D19" s="954" t="s">
        <v>92</v>
      </c>
      <c r="E19" s="280" t="s">
        <v>840</v>
      </c>
      <c r="F19" s="661" t="s">
        <v>565</v>
      </c>
      <c r="G19" s="664"/>
      <c r="H19" s="663"/>
      <c r="I19" s="956"/>
      <c r="J19" s="663"/>
      <c r="K19" s="290" t="s">
        <v>841</v>
      </c>
      <c r="L19" s="721"/>
      <c r="X19" s="506">
        <v>0</v>
      </c>
    </row>
    <row s="1636" customFormat="1" customHeight="1" ht="18.75">
      <c r="A20" s="2393"/>
      <c r="C20" s="957"/>
      <c r="D20" s="954" t="s">
        <v>772</v>
      </c>
      <c r="E20" s="955" t="s">
        <v>842</v>
      </c>
      <c r="F20" s="951" t="s">
        <v>323</v>
      </c>
      <c r="G20" s="951" t="s">
        <v>323</v>
      </c>
      <c r="H20" s="950" t="s">
        <v>323</v>
      </c>
      <c r="I20" s="951" t="s">
        <v>323</v>
      </c>
      <c r="J20" s="950" t="s">
        <v>323</v>
      </c>
      <c r="K20" s="949"/>
      <c r="L20" s="721"/>
      <c r="W20" s="676"/>
      <c r="X20" s="759">
        <v>0</v>
      </c>
    </row>
    <row s="1636" customFormat="1" customHeight="1" ht="33.75">
      <c r="A21" s="2393"/>
      <c r="C21" s="957"/>
      <c r="D21" s="954" t="s">
        <v>775</v>
      </c>
      <c r="E21" s="577" t="s">
        <v>843</v>
      </c>
      <c r="F21" s="951" t="s">
        <v>844</v>
      </c>
      <c r="G21" s="681"/>
      <c r="H21" s="107"/>
      <c r="I21" s="681"/>
      <c r="J21" s="107"/>
      <c r="K21" s="949"/>
      <c r="L21" s="721"/>
      <c r="W21" s="676"/>
      <c r="X21" s="759">
        <v>0</v>
      </c>
    </row>
    <row s="1636" customFormat="1" customHeight="1" ht="33.75">
      <c r="A22" s="2393"/>
      <c r="C22" s="957"/>
      <c r="D22" s="954" t="s">
        <v>778</v>
      </c>
      <c r="E22" s="577" t="s">
        <v>845</v>
      </c>
      <c r="F22" s="951" t="s">
        <v>846</v>
      </c>
      <c r="G22" s="681"/>
      <c r="H22" s="107"/>
      <c r="I22" s="681"/>
      <c r="J22" s="107"/>
      <c r="K22" s="949"/>
      <c r="L22" s="721"/>
      <c r="W22" s="676"/>
      <c r="X22" s="759">
        <v>0</v>
      </c>
    </row>
    <row s="1636" customFormat="1" customHeight="1" ht="22.5">
      <c r="A23" s="2393"/>
      <c r="C23" s="957"/>
      <c r="D23" s="954" t="s">
        <v>814</v>
      </c>
      <c r="E23" s="955" t="s">
        <v>847</v>
      </c>
      <c r="F23" s="951" t="s">
        <v>323</v>
      </c>
      <c r="G23" s="951" t="s">
        <v>323</v>
      </c>
      <c r="H23" s="950" t="s">
        <v>323</v>
      </c>
      <c r="I23" s="951" t="s">
        <v>323</v>
      </c>
      <c r="J23" s="950" t="s">
        <v>323</v>
      </c>
      <c r="K23" s="949"/>
      <c r="L23" s="721"/>
      <c r="W23" s="676"/>
      <c r="X23" s="759">
        <v>0</v>
      </c>
    </row>
    <row s="1636" customFormat="1" customHeight="1" ht="22.5">
      <c r="A24" s="2393"/>
      <c r="C24" s="957"/>
      <c r="D24" s="954" t="s">
        <v>848</v>
      </c>
      <c r="E24" s="577" t="s">
        <v>849</v>
      </c>
      <c r="F24" s="951" t="s">
        <v>850</v>
      </c>
      <c r="G24" s="681"/>
      <c r="H24" s="687"/>
      <c r="I24" s="681"/>
      <c r="J24" s="687"/>
      <c r="K24" s="949"/>
      <c r="L24" s="721"/>
      <c r="W24" s="676"/>
      <c r="X24" s="759">
        <v>0</v>
      </c>
    </row>
    <row s="1636" customFormat="1" customHeight="1" ht="22.5">
      <c r="A25" s="2393"/>
      <c r="C25" s="957"/>
      <c r="D25" s="954" t="s">
        <v>851</v>
      </c>
      <c r="E25" s="577" t="s">
        <v>852</v>
      </c>
      <c r="F25" s="951" t="s">
        <v>323</v>
      </c>
      <c r="G25" s="951" t="s">
        <v>323</v>
      </c>
      <c r="H25" s="950" t="s">
        <v>323</v>
      </c>
      <c r="I25" s="951" t="s">
        <v>323</v>
      </c>
      <c r="J25" s="950" t="s">
        <v>323</v>
      </c>
      <c r="K25" s="949"/>
      <c r="L25" s="721"/>
      <c r="W25" s="676"/>
      <c r="X25" s="759">
        <v>0</v>
      </c>
    </row>
    <row s="1636" customFormat="1" customHeight="1" ht="18.75">
      <c r="A26" s="2393"/>
      <c r="C26" s="957"/>
      <c r="D26" s="954" t="s">
        <v>853</v>
      </c>
      <c r="E26" s="554" t="s">
        <v>854</v>
      </c>
      <c r="F26" s="951" t="s">
        <v>855</v>
      </c>
      <c r="G26" s="681"/>
      <c r="H26" s="687"/>
      <c r="I26" s="681"/>
      <c r="J26" s="687"/>
      <c r="K26" s="949"/>
      <c r="L26" s="721"/>
      <c r="W26" s="676"/>
      <c r="X26" s="759">
        <v>0</v>
      </c>
    </row>
    <row s="1636" customFormat="1" customHeight="1" ht="18.75">
      <c r="A27" s="2393"/>
      <c r="C27" s="957"/>
      <c r="D27" s="954" t="s">
        <v>856</v>
      </c>
      <c r="E27" s="554" t="s">
        <v>857</v>
      </c>
      <c r="F27" s="951" t="s">
        <v>858</v>
      </c>
      <c r="G27" s="681"/>
      <c r="H27" s="687"/>
      <c r="I27" s="681"/>
      <c r="J27" s="687"/>
      <c r="K27" s="949"/>
      <c r="L27" s="721"/>
      <c r="W27" s="676"/>
      <c r="X27" s="759">
        <v>0</v>
      </c>
    </row>
    <row s="1636" customFormat="1" customHeight="1" ht="18.75">
      <c r="A28" s="2393"/>
      <c r="C28" s="957"/>
      <c r="D28" s="954" t="s">
        <v>859</v>
      </c>
      <c r="E28" s="577" t="s">
        <v>860</v>
      </c>
      <c r="F28" s="951" t="s">
        <v>323</v>
      </c>
      <c r="G28" s="951" t="s">
        <v>323</v>
      </c>
      <c r="H28" s="950" t="s">
        <v>323</v>
      </c>
      <c r="I28" s="951" t="s">
        <v>323</v>
      </c>
      <c r="J28" s="950" t="s">
        <v>323</v>
      </c>
      <c r="K28" s="949"/>
      <c r="L28" s="721"/>
      <c r="W28" s="676"/>
      <c r="X28" s="759">
        <v>0</v>
      </c>
    </row>
    <row s="1636" customFormat="1" customHeight="1" ht="18.75">
      <c r="A29" s="2393"/>
      <c r="C29" s="957"/>
      <c r="D29" s="954" t="s">
        <v>861</v>
      </c>
      <c r="E29" s="554" t="s">
        <v>854</v>
      </c>
      <c r="F29" s="951" t="s">
        <v>862</v>
      </c>
      <c r="G29" s="681"/>
      <c r="H29" s="687"/>
      <c r="I29" s="681"/>
      <c r="J29" s="687"/>
      <c r="K29" s="949"/>
      <c r="L29" s="721"/>
      <c r="W29" s="676"/>
      <c r="X29" s="759">
        <v>0</v>
      </c>
    </row>
    <row s="1636" customFormat="1" customHeight="1" ht="18.75">
      <c r="A30" s="2393"/>
      <c r="C30" s="957"/>
      <c r="D30" s="954" t="s">
        <v>863</v>
      </c>
      <c r="E30" s="554" t="s">
        <v>864</v>
      </c>
      <c r="F30" s="951" t="s">
        <v>865</v>
      </c>
      <c r="G30" s="681"/>
      <c r="H30" s="687"/>
      <c r="I30" s="681"/>
      <c r="J30" s="687"/>
      <c r="K30" s="949"/>
      <c r="L30" s="721"/>
      <c r="W30" s="676"/>
      <c r="X30" s="759">
        <v>0</v>
      </c>
    </row>
    <row customHeight="1" ht="126.75">
      <c r="A31" s="2393"/>
      <c r="D31" s="954" t="s">
        <v>119</v>
      </c>
      <c r="E31" s="280" t="s">
        <v>866</v>
      </c>
      <c r="F31" s="661" t="s">
        <v>577</v>
      </c>
      <c r="G31" s="558"/>
      <c r="H31" s="663"/>
      <c r="I31" s="558"/>
      <c r="J31" s="663"/>
      <c r="K31" s="290" t="s">
        <v>867</v>
      </c>
      <c r="L31" s="721"/>
      <c r="X31" s="506">
        <v>0</v>
      </c>
    </row>
    <row customHeight="1" ht="56.25">
      <c r="A32" s="2393"/>
      <c r="D32" s="954" t="s">
        <v>93</v>
      </c>
      <c r="E32" s="280" t="s">
        <v>868</v>
      </c>
      <c r="F32" s="540" t="s">
        <v>838</v>
      </c>
      <c r="G32" s="558"/>
      <c r="H32" s="663"/>
      <c r="I32" s="558"/>
      <c r="J32" s="663"/>
      <c r="K32" s="290" t="s">
        <v>869</v>
      </c>
      <c r="L32" s="721"/>
      <c r="X32" s="506">
        <v>0</v>
      </c>
    </row>
    <row customHeight="1" ht="11.25">
      <c r="A33" s="2393"/>
      <c r="E33" s="665"/>
      <c r="F33" s="182"/>
      <c r="G33" s="182"/>
      <c r="H33" s="182"/>
      <c r="I33" s="182"/>
      <c r="J33" s="182"/>
      <c r="K33" s="182"/>
      <c r="X33" s="506">
        <v>0</v>
      </c>
    </row>
    <row customHeight="1" ht="12.75">
      <c r="A34" s="2393"/>
      <c r="D34" s="66">
        <v>1</v>
      </c>
      <c r="E34" s="336" t="s">
        <v>870</v>
      </c>
      <c r="X34" s="506">
        <v>0</v>
      </c>
    </row>
    <row customHeight="1" ht="11.25">
      <c r="A35" s="2393"/>
      <c r="D35" s="370"/>
      <c r="E35" s="336" t="s">
        <v>871</v>
      </c>
      <c r="X35" s="506">
        <v>0</v>
      </c>
    </row>
    <row s="1636" customFormat="1" customHeight="1" ht="11.549999999999999">
      <c r="A36" s="1034"/>
      <c r="B36" s="519"/>
      <c r="D36" s="1035"/>
      <c r="E36" s="1036"/>
      <c r="X36" s="510">
        <v>11</v>
      </c>
    </row>
    <row s="1636" customFormat="1" customHeight="1" ht="22.5" hidden="1">
      <c r="A37" s="2393" t="s">
        <v>872</v>
      </c>
      <c r="B37" s="512"/>
      <c r="D37" s="954">
        <v>1</v>
      </c>
      <c r="E37" s="708" t="s">
        <v>873</v>
      </c>
      <c r="F37" s="661" t="s">
        <v>828</v>
      </c>
      <c r="G37" s="558"/>
      <c r="H37" s="520"/>
      <c r="I37" s="558"/>
      <c r="J37" s="520"/>
      <c r="K37" s="290" t="s">
        <v>874</v>
      </c>
      <c r="X37" s="759">
        <v>0</v>
      </c>
    </row>
    <row s="1636" customFormat="1" customHeight="1" ht="22.5" hidden="1">
      <c r="A38" s="2393"/>
      <c r="B38" s="512"/>
      <c r="D38" s="670" t="s">
        <v>103</v>
      </c>
      <c r="E38" s="1033" t="s">
        <v>875</v>
      </c>
      <c r="F38" s="1037" t="s">
        <v>565</v>
      </c>
      <c r="G38" s="1037" t="s">
        <v>565</v>
      </c>
      <c r="H38" s="1031"/>
      <c r="I38" s="1037" t="s">
        <v>565</v>
      </c>
      <c r="J38" s="1031"/>
      <c r="K38" s="1032"/>
      <c r="X38" s="759">
        <v>0</v>
      </c>
    </row>
    <row s="1636" customFormat="1" customHeight="1" ht="33.75" hidden="1">
      <c r="A39" s="2393"/>
      <c r="B39" s="512"/>
      <c r="D39" s="666" t="s">
        <v>730</v>
      </c>
      <c r="E39" s="724" t="s">
        <v>876</v>
      </c>
      <c r="F39" s="661" t="s">
        <v>877</v>
      </c>
      <c r="G39" s="669"/>
      <c r="H39" s="1024"/>
      <c r="I39" s="669"/>
      <c r="J39" s="1024"/>
      <c r="K39" s="290" t="s">
        <v>878</v>
      </c>
      <c r="X39" s="759">
        <v>0</v>
      </c>
    </row>
    <row s="1636" customFormat="1" customHeight="1" ht="33.75" hidden="1">
      <c r="A40" s="2393"/>
      <c r="B40" s="512"/>
      <c r="D40" s="666" t="s">
        <v>733</v>
      </c>
      <c r="E40" s="724" t="s">
        <v>879</v>
      </c>
      <c r="F40" s="1028" t="s">
        <v>880</v>
      </c>
      <c r="G40" s="742"/>
      <c r="H40" s="1024"/>
      <c r="I40" s="742"/>
      <c r="J40" s="1024"/>
      <c r="K40" s="290" t="s">
        <v>881</v>
      </c>
      <c r="X40" s="759">
        <v>0</v>
      </c>
    </row>
    <row s="1636" customFormat="1" customHeight="1" ht="22.5" hidden="1">
      <c r="A41" s="2393"/>
      <c r="B41" s="512"/>
      <c r="D41" s="666" t="s">
        <v>91</v>
      </c>
      <c r="E41" s="723" t="s">
        <v>882</v>
      </c>
      <c r="F41" s="661" t="s">
        <v>565</v>
      </c>
      <c r="G41" s="661" t="s">
        <v>565</v>
      </c>
      <c r="H41" s="1025"/>
      <c r="I41" s="661" t="s">
        <v>565</v>
      </c>
      <c r="J41" s="1025"/>
      <c r="K41" s="303"/>
      <c r="X41" s="759">
        <v>0</v>
      </c>
    </row>
    <row s="1636" customFormat="1" customHeight="1" ht="45" hidden="1">
      <c r="A42" s="2393"/>
      <c r="B42" s="512"/>
      <c r="D42" s="666" t="s">
        <v>341</v>
      </c>
      <c r="E42" s="724" t="s">
        <v>883</v>
      </c>
      <c r="F42" s="661" t="s">
        <v>577</v>
      </c>
      <c r="G42" s="558"/>
      <c r="H42" s="1025"/>
      <c r="I42" s="558"/>
      <c r="J42" s="1025"/>
      <c r="K42" s="303" t="s">
        <v>884</v>
      </c>
      <c r="X42" s="759">
        <v>0</v>
      </c>
    </row>
    <row s="1636" customFormat="1" customHeight="1" ht="45" hidden="1">
      <c r="A43" s="2393"/>
      <c r="B43" s="512"/>
      <c r="D43" s="666" t="s">
        <v>349</v>
      </c>
      <c r="E43" s="668" t="s">
        <v>885</v>
      </c>
      <c r="F43" s="1029" t="s">
        <v>577</v>
      </c>
      <c r="G43" s="743"/>
      <c r="H43" s="1024"/>
      <c r="I43" s="743"/>
      <c r="J43" s="1024"/>
      <c r="K43" s="303" t="s">
        <v>886</v>
      </c>
      <c r="X43" s="759">
        <v>0</v>
      </c>
    </row>
    <row s="1636" customFormat="1" customHeight="1" ht="11.25" hidden="1">
      <c r="A44" s="2393"/>
      <c r="B44" s="512"/>
      <c r="D44" s="666" t="s">
        <v>92</v>
      </c>
      <c r="E44" s="667" t="s">
        <v>887</v>
      </c>
      <c r="F44" s="661" t="s">
        <v>877</v>
      </c>
      <c r="G44" s="669"/>
      <c r="H44" s="1024"/>
      <c r="I44" s="669"/>
      <c r="J44" s="1024"/>
      <c r="K44" s="290"/>
      <c r="X44" s="759">
        <v>0</v>
      </c>
    </row>
    <row s="1636" customFormat="1" customHeight="1" ht="11.25" hidden="1">
      <c r="A45" s="2393"/>
      <c r="B45" s="512"/>
      <c r="D45" s="666" t="s">
        <v>772</v>
      </c>
      <c r="E45" s="668" t="s">
        <v>888</v>
      </c>
      <c r="F45" s="661" t="s">
        <v>877</v>
      </c>
      <c r="G45" s="669"/>
      <c r="H45" s="1024"/>
      <c r="I45" s="669"/>
      <c r="J45" s="1024"/>
      <c r="K45" s="290"/>
      <c r="X45" s="759">
        <v>0</v>
      </c>
    </row>
    <row s="1636" customFormat="1" customHeight="1" ht="11.25" hidden="1">
      <c r="A46" s="2393"/>
      <c r="B46" s="512"/>
      <c r="D46" s="666" t="s">
        <v>814</v>
      </c>
      <c r="E46" s="668" t="s">
        <v>889</v>
      </c>
      <c r="F46" s="661" t="s">
        <v>877</v>
      </c>
      <c r="G46" s="669"/>
      <c r="H46" s="1024"/>
      <c r="I46" s="669"/>
      <c r="J46" s="1024"/>
      <c r="K46" s="290"/>
      <c r="X46" s="759">
        <v>0</v>
      </c>
    </row>
    <row s="1636" customFormat="1" customHeight="1" ht="11.25" hidden="1">
      <c r="A47" s="2393"/>
      <c r="B47" s="512"/>
      <c r="D47" s="666" t="s">
        <v>817</v>
      </c>
      <c r="E47" s="668" t="s">
        <v>890</v>
      </c>
      <c r="F47" s="661" t="s">
        <v>877</v>
      </c>
      <c r="G47" s="669"/>
      <c r="H47" s="1024"/>
      <c r="I47" s="669"/>
      <c r="J47" s="1024"/>
      <c r="K47" s="290"/>
      <c r="X47" s="759">
        <v>0</v>
      </c>
    </row>
    <row s="1636" customFormat="1" customHeight="1" ht="11.25" hidden="1">
      <c r="A48" s="2393"/>
      <c r="B48" s="512"/>
      <c r="D48" s="666" t="s">
        <v>891</v>
      </c>
      <c r="E48" s="672" t="s">
        <v>892</v>
      </c>
      <c r="F48" s="661" t="s">
        <v>877</v>
      </c>
      <c r="G48" s="669"/>
      <c r="H48" s="1024"/>
      <c r="I48" s="669"/>
      <c r="J48" s="1024"/>
      <c r="K48" s="290"/>
      <c r="X48" s="759">
        <v>0</v>
      </c>
    </row>
    <row s="1636" customFormat="1" customHeight="1" ht="11.25" hidden="1">
      <c r="A49" s="2393"/>
      <c r="B49" s="512"/>
      <c r="D49" s="666" t="s">
        <v>893</v>
      </c>
      <c r="E49" s="672" t="s">
        <v>894</v>
      </c>
      <c r="F49" s="661" t="s">
        <v>877</v>
      </c>
      <c r="G49" s="669"/>
      <c r="H49" s="1024"/>
      <c r="I49" s="669"/>
      <c r="J49" s="1024"/>
      <c r="K49" s="290"/>
      <c r="X49" s="759">
        <v>0</v>
      </c>
    </row>
    <row s="1636" customFormat="1" customHeight="1" ht="11.25" hidden="1">
      <c r="A50" s="2393"/>
      <c r="B50" s="512"/>
      <c r="D50" s="666" t="s">
        <v>895</v>
      </c>
      <c r="E50" s="668" t="s">
        <v>896</v>
      </c>
      <c r="F50" s="661" t="s">
        <v>877</v>
      </c>
      <c r="G50" s="669"/>
      <c r="H50" s="1024"/>
      <c r="I50" s="669"/>
      <c r="J50" s="1024"/>
      <c r="K50" s="290"/>
      <c r="X50" s="759">
        <v>0</v>
      </c>
    </row>
    <row s="1636" customFormat="1" customHeight="1" ht="11.25" hidden="1">
      <c r="A51" s="2393"/>
      <c r="B51" s="512"/>
      <c r="D51" s="666" t="s">
        <v>897</v>
      </c>
      <c r="E51" s="668" t="s">
        <v>898</v>
      </c>
      <c r="F51" s="661" t="s">
        <v>877</v>
      </c>
      <c r="G51" s="669"/>
      <c r="H51" s="1024"/>
      <c r="I51" s="669"/>
      <c r="J51" s="1024"/>
      <c r="K51" s="290"/>
      <c r="X51" s="759">
        <v>0</v>
      </c>
    </row>
    <row s="1636" customFormat="1" customHeight="1" ht="45" hidden="1">
      <c r="A52" s="2393"/>
      <c r="B52" s="512"/>
      <c r="D52" s="666" t="s">
        <v>119</v>
      </c>
      <c r="E52" s="667" t="s">
        <v>899</v>
      </c>
      <c r="F52" s="661" t="s">
        <v>877</v>
      </c>
      <c r="G52" s="669"/>
      <c r="H52" s="1024"/>
      <c r="I52" s="669"/>
      <c r="J52" s="1024"/>
      <c r="K52" s="290"/>
      <c r="X52" s="759">
        <v>0</v>
      </c>
    </row>
    <row s="1636" customFormat="1" customHeight="1" ht="11.25" hidden="1">
      <c r="A53" s="2393"/>
      <c r="B53" s="512"/>
      <c r="D53" s="666" t="s">
        <v>330</v>
      </c>
      <c r="E53" s="668" t="s">
        <v>888</v>
      </c>
      <c r="F53" s="661" t="s">
        <v>877</v>
      </c>
      <c r="G53" s="669"/>
      <c r="H53" s="1024"/>
      <c r="I53" s="669"/>
      <c r="J53" s="1024"/>
      <c r="K53" s="290"/>
      <c r="X53" s="759">
        <v>0</v>
      </c>
    </row>
    <row s="1636" customFormat="1" customHeight="1" ht="11.25" hidden="1">
      <c r="A54" s="2393"/>
      <c r="B54" s="512"/>
      <c r="D54" s="666" t="s">
        <v>900</v>
      </c>
      <c r="E54" s="668" t="s">
        <v>889</v>
      </c>
      <c r="F54" s="661" t="s">
        <v>877</v>
      </c>
      <c r="G54" s="669"/>
      <c r="H54" s="1024"/>
      <c r="I54" s="669"/>
      <c r="J54" s="1024"/>
      <c r="K54" s="290"/>
      <c r="X54" s="759">
        <v>0</v>
      </c>
    </row>
    <row s="1636" customFormat="1" customHeight="1" ht="11.25" hidden="1">
      <c r="A55" s="2393"/>
      <c r="B55" s="512"/>
      <c r="D55" s="666" t="s">
        <v>901</v>
      </c>
      <c r="E55" s="668" t="s">
        <v>890</v>
      </c>
      <c r="F55" s="661" t="s">
        <v>877</v>
      </c>
      <c r="G55" s="669"/>
      <c r="H55" s="1024"/>
      <c r="I55" s="669"/>
      <c r="J55" s="1024"/>
      <c r="K55" s="290"/>
      <c r="X55" s="759">
        <v>0</v>
      </c>
    </row>
    <row s="1636" customFormat="1" customHeight="1" ht="11.25" hidden="1">
      <c r="A56" s="2393"/>
      <c r="B56" s="512"/>
      <c r="D56" s="666" t="s">
        <v>902</v>
      </c>
      <c r="E56" s="672" t="s">
        <v>892</v>
      </c>
      <c r="F56" s="661" t="s">
        <v>877</v>
      </c>
      <c r="G56" s="669"/>
      <c r="H56" s="1024"/>
      <c r="I56" s="669"/>
      <c r="J56" s="1024"/>
      <c r="K56" s="290"/>
      <c r="X56" s="759">
        <v>0</v>
      </c>
    </row>
    <row s="1636" customFormat="1" customHeight="1" ht="11.25" hidden="1">
      <c r="A57" s="2393"/>
      <c r="B57" s="512"/>
      <c r="D57" s="666" t="s">
        <v>903</v>
      </c>
      <c r="E57" s="672" t="s">
        <v>894</v>
      </c>
      <c r="F57" s="661" t="s">
        <v>877</v>
      </c>
      <c r="G57" s="669"/>
      <c r="H57" s="1024"/>
      <c r="I57" s="669"/>
      <c r="J57" s="1024"/>
      <c r="K57" s="290"/>
      <c r="X57" s="759">
        <v>0</v>
      </c>
    </row>
    <row s="1636" customFormat="1" customHeight="1" ht="11.25" hidden="1">
      <c r="A58" s="2393"/>
      <c r="B58" s="512"/>
      <c r="D58" s="666" t="s">
        <v>904</v>
      </c>
      <c r="E58" s="668" t="s">
        <v>896</v>
      </c>
      <c r="F58" s="661" t="s">
        <v>877</v>
      </c>
      <c r="G58" s="669"/>
      <c r="H58" s="1024"/>
      <c r="I58" s="669"/>
      <c r="J58" s="1024"/>
      <c r="K58" s="290"/>
      <c r="X58" s="759">
        <v>0</v>
      </c>
    </row>
    <row s="1636" customFormat="1" customHeight="1" ht="11.25" hidden="1">
      <c r="A59" s="2393"/>
      <c r="B59" s="512"/>
      <c r="D59" s="666" t="s">
        <v>905</v>
      </c>
      <c r="E59" s="668" t="s">
        <v>898</v>
      </c>
      <c r="F59" s="661" t="s">
        <v>877</v>
      </c>
      <c r="G59" s="669"/>
      <c r="H59" s="1024"/>
      <c r="I59" s="669"/>
      <c r="J59" s="1024"/>
      <c r="K59" s="290"/>
      <c r="X59" s="759">
        <v>0</v>
      </c>
    </row>
    <row s="1636" customFormat="1" customHeight="1" ht="33.75" hidden="1">
      <c r="A60" s="2393"/>
      <c r="B60" s="512"/>
      <c r="D60" s="666" t="s">
        <v>93</v>
      </c>
      <c r="E60" s="667" t="s">
        <v>906</v>
      </c>
      <c r="F60" s="722" t="s">
        <v>577</v>
      </c>
      <c r="G60" s="743"/>
      <c r="H60" s="1024"/>
      <c r="I60" s="743"/>
      <c r="J60" s="1024"/>
      <c r="K60" s="303" t="s">
        <v>907</v>
      </c>
      <c r="X60" s="759">
        <v>0</v>
      </c>
    </row>
    <row s="1636" customFormat="1" customHeight="1" ht="33.75" hidden="1">
      <c r="A61" s="2393"/>
      <c r="B61" s="512"/>
      <c r="D61" s="666" t="s">
        <v>94</v>
      </c>
      <c r="E61" s="667" t="s">
        <v>908</v>
      </c>
      <c r="F61" s="727" t="s">
        <v>838</v>
      </c>
      <c r="G61" s="669"/>
      <c r="H61" s="1024"/>
      <c r="I61" s="669"/>
      <c r="J61" s="1024"/>
      <c r="K61" s="290"/>
      <c r="X61" s="759">
        <v>0</v>
      </c>
    </row>
    <row s="1636" customFormat="1" customHeight="1" ht="22.5" hidden="1">
      <c r="A62" s="2393"/>
      <c r="B62" s="512" t="s">
        <v>607</v>
      </c>
      <c r="D62" s="666" t="s">
        <v>120</v>
      </c>
      <c r="E62" s="667" t="s">
        <v>909</v>
      </c>
      <c r="F62" s="727" t="s">
        <v>323</v>
      </c>
      <c r="G62" s="383"/>
      <c r="H62" s="1024"/>
      <c r="I62" s="383"/>
      <c r="J62" s="1024"/>
      <c r="K62" s="290" t="s">
        <v>650</v>
      </c>
      <c r="X62" s="759">
        <v>0</v>
      </c>
    </row>
    <row s="1636" customFormat="1" customHeight="1" ht="45" hidden="1">
      <c r="A63" s="2393"/>
      <c r="B63" s="512" t="s">
        <v>607</v>
      </c>
      <c r="D63" s="666" t="s">
        <v>910</v>
      </c>
      <c r="E63" s="668" t="s">
        <v>911</v>
      </c>
      <c r="F63" s="722" t="s">
        <v>323</v>
      </c>
      <c r="G63" s="383"/>
      <c r="H63" s="1024"/>
      <c r="I63" s="383"/>
      <c r="J63" s="1024"/>
      <c r="K63" s="290" t="s">
        <v>650</v>
      </c>
      <c r="X63" s="759">
        <v>0</v>
      </c>
    </row>
    <row s="1636" customFormat="1" customHeight="1" ht="11.549999999999999">
      <c r="A64" s="1034"/>
      <c r="B64" s="519"/>
      <c r="D64" s="1035"/>
      <c r="E64" s="1036"/>
      <c r="X64" s="510">
        <v>11</v>
      </c>
    </row>
    <row s="1636" customFormat="1" customHeight="1" ht="22.5" hidden="1">
      <c r="A65" s="2393" t="s">
        <v>912</v>
      </c>
      <c r="B65" s="512"/>
      <c r="D65" s="666">
        <v>1</v>
      </c>
      <c r="E65" s="745" t="s">
        <v>913</v>
      </c>
      <c r="F65" s="741" t="s">
        <v>828</v>
      </c>
      <c r="G65" s="742"/>
      <c r="H65" s="1030"/>
      <c r="I65" s="742"/>
      <c r="J65" s="1030"/>
      <c r="K65" s="302" t="s">
        <v>914</v>
      </c>
      <c r="X65" s="759">
        <v>0</v>
      </c>
    </row>
    <row s="1636" customFormat="1" customHeight="1" ht="56.25" hidden="1">
      <c r="A66" s="2393"/>
      <c r="B66" s="512"/>
      <c r="D66" s="744" t="s">
        <v>103</v>
      </c>
      <c r="E66" s="708" t="s">
        <v>915</v>
      </c>
      <c r="F66" s="661" t="s">
        <v>565</v>
      </c>
      <c r="G66" s="661" t="s">
        <v>565</v>
      </c>
      <c r="H66" s="520"/>
      <c r="I66" s="661" t="s">
        <v>565</v>
      </c>
      <c r="J66" s="520"/>
      <c r="K66" s="290"/>
      <c r="X66" s="759">
        <v>0</v>
      </c>
    </row>
    <row s="1636" customFormat="1" customHeight="1" ht="33.75" hidden="1">
      <c r="A67" s="2393"/>
      <c r="B67" s="512"/>
      <c r="D67" s="744" t="s">
        <v>727</v>
      </c>
      <c r="E67" s="955" t="s">
        <v>916</v>
      </c>
      <c r="F67" s="661" t="s">
        <v>880</v>
      </c>
      <c r="G67" s="728"/>
      <c r="H67" s="520"/>
      <c r="I67" s="728"/>
      <c r="J67" s="520"/>
      <c r="K67" s="290"/>
      <c r="X67" s="759">
        <v>0</v>
      </c>
    </row>
    <row s="1636" customFormat="1" customHeight="1" ht="22.5" hidden="1">
      <c r="A68" s="2393"/>
      <c r="B68" s="512"/>
      <c r="D68" s="744" t="s">
        <v>324</v>
      </c>
      <c r="E68" s="955" t="s">
        <v>917</v>
      </c>
      <c r="F68" s="661" t="s">
        <v>880</v>
      </c>
      <c r="G68" s="728"/>
      <c r="H68" s="520"/>
      <c r="I68" s="728"/>
      <c r="J68" s="520"/>
      <c r="K68" s="290"/>
      <c r="X68" s="759">
        <v>0</v>
      </c>
    </row>
    <row s="1636" customFormat="1" customHeight="1" ht="22.5" hidden="1">
      <c r="A69" s="2393"/>
      <c r="B69" s="512"/>
      <c r="D69" s="744" t="s">
        <v>327</v>
      </c>
      <c r="E69" s="955" t="s">
        <v>918</v>
      </c>
      <c r="F69" s="722" t="s">
        <v>577</v>
      </c>
      <c r="G69" s="743"/>
      <c r="H69" s="520"/>
      <c r="I69" s="743"/>
      <c r="J69" s="520"/>
      <c r="K69" s="290"/>
      <c r="X69" s="759">
        <v>0</v>
      </c>
    </row>
    <row s="1636" customFormat="1" customHeight="1" ht="22.5" hidden="1">
      <c r="A70" s="2393"/>
      <c r="B70" s="512"/>
      <c r="D70" s="744" t="s">
        <v>747</v>
      </c>
      <c r="E70" s="955" t="s">
        <v>919</v>
      </c>
      <c r="F70" s="722" t="s">
        <v>577</v>
      </c>
      <c r="G70" s="743"/>
      <c r="H70" s="520"/>
      <c r="I70" s="743"/>
      <c r="J70" s="520"/>
      <c r="K70" s="290"/>
      <c r="X70" s="759">
        <v>0</v>
      </c>
    </row>
    <row s="1636" customFormat="1" customHeight="1" ht="22.5" hidden="1">
      <c r="A71" s="2393"/>
      <c r="B71" s="512"/>
      <c r="D71" s="666" t="s">
        <v>91</v>
      </c>
      <c r="E71" s="667" t="s">
        <v>920</v>
      </c>
      <c r="F71" s="661" t="s">
        <v>880</v>
      </c>
      <c r="G71" s="558"/>
      <c r="H71" s="1031"/>
      <c r="I71" s="558"/>
      <c r="J71" s="1031"/>
      <c r="K71" s="303"/>
      <c r="X71" s="759">
        <v>0</v>
      </c>
    </row>
    <row s="1636" customFormat="1" customHeight="1" ht="56.25" hidden="1">
      <c r="A72" s="2393"/>
      <c r="B72" s="512"/>
      <c r="D72" s="666" t="s">
        <v>92</v>
      </c>
      <c r="E72" s="667" t="s">
        <v>921</v>
      </c>
      <c r="F72" s="722" t="s">
        <v>577</v>
      </c>
      <c r="G72" s="743"/>
      <c r="H72" s="1024"/>
      <c r="I72" s="743"/>
      <c r="J72" s="1024"/>
      <c r="K72" s="303"/>
      <c r="X72" s="759">
        <v>0</v>
      </c>
    </row>
    <row s="1636" customFormat="1" customHeight="1" ht="33.75" hidden="1">
      <c r="A73" s="2393"/>
      <c r="B73" s="512"/>
      <c r="D73" s="666" t="s">
        <v>119</v>
      </c>
      <c r="E73" s="667" t="s">
        <v>922</v>
      </c>
      <c r="F73" s="727" t="s">
        <v>838</v>
      </c>
      <c r="G73" s="669"/>
      <c r="H73" s="1024"/>
      <c r="I73" s="669"/>
      <c r="J73" s="1024"/>
      <c r="K73" s="290"/>
      <c r="X73" s="759">
        <v>0</v>
      </c>
    </row>
    <row s="1636" customFormat="1" customHeight="1" ht="22.5" hidden="1">
      <c r="A74" s="2393"/>
      <c r="B74" s="512" t="s">
        <v>607</v>
      </c>
      <c r="D74" s="666" t="s">
        <v>93</v>
      </c>
      <c r="E74" s="667" t="s">
        <v>923</v>
      </c>
      <c r="F74" s="727" t="s">
        <v>323</v>
      </c>
      <c r="G74" s="383"/>
      <c r="H74" s="1024"/>
      <c r="I74" s="383"/>
      <c r="J74" s="1024"/>
      <c r="K74" s="290" t="s">
        <v>650</v>
      </c>
      <c r="X74" s="759">
        <v>0</v>
      </c>
    </row>
    <row s="1636" customFormat="1" customHeight="1" ht="45" hidden="1">
      <c r="A75" s="2393"/>
      <c r="B75" s="512" t="s">
        <v>607</v>
      </c>
      <c r="D75" s="666" t="s">
        <v>671</v>
      </c>
      <c r="E75" s="668" t="s">
        <v>924</v>
      </c>
      <c r="F75" s="722" t="s">
        <v>323</v>
      </c>
      <c r="G75" s="383"/>
      <c r="H75" s="1024"/>
      <c r="I75" s="383"/>
      <c r="J75" s="1024"/>
      <c r="K75" s="290" t="s">
        <v>650</v>
      </c>
      <c r="X75" s="759">
        <v>0</v>
      </c>
    </row>
    <row s="1636" customFormat="1" customHeight="1" ht="11.549999999999999">
      <c r="A76" s="1034"/>
      <c r="B76" s="519"/>
      <c r="D76" s="1035"/>
      <c r="E76" s="1036"/>
      <c r="X76" s="510">
        <v>11</v>
      </c>
    </row>
    <row s="1636" customFormat="1" customHeight="1" ht="11.25" hidden="1">
      <c r="A77" s="2393" t="s">
        <v>925</v>
      </c>
      <c r="B77" s="512"/>
      <c r="D77" s="666">
        <v>1</v>
      </c>
      <c r="E77" s="667" t="s">
        <v>926</v>
      </c>
      <c r="F77" s="722" t="s">
        <v>828</v>
      </c>
      <c r="G77" s="725"/>
      <c r="H77" s="1024"/>
      <c r="I77" s="725"/>
      <c r="J77" s="1024"/>
      <c r="K77" s="290" t="s">
        <v>927</v>
      </c>
      <c r="X77" s="759">
        <v>0</v>
      </c>
    </row>
    <row s="1636" customFormat="1" customHeight="1" ht="11.25" hidden="1">
      <c r="A78" s="2393"/>
      <c r="B78" s="512"/>
      <c r="D78" s="666" t="s">
        <v>103</v>
      </c>
      <c r="E78" s="667" t="s">
        <v>928</v>
      </c>
      <c r="F78" s="722" t="s">
        <v>828</v>
      </c>
      <c r="G78" s="725"/>
      <c r="H78" s="1024"/>
      <c r="I78" s="725"/>
      <c r="J78" s="1024"/>
      <c r="K78" s="290" t="s">
        <v>929</v>
      </c>
      <c r="X78" s="759">
        <v>0</v>
      </c>
    </row>
    <row s="1636" customFormat="1" customHeight="1" ht="22.5" hidden="1">
      <c r="A79" s="2393"/>
      <c r="B79" s="512"/>
      <c r="D79" s="666" t="s">
        <v>91</v>
      </c>
      <c r="E79" s="723" t="s">
        <v>930</v>
      </c>
      <c r="F79" s="661" t="s">
        <v>877</v>
      </c>
      <c r="G79" s="725"/>
      <c r="H79" s="1024"/>
      <c r="I79" s="725"/>
      <c r="J79" s="1024"/>
      <c r="K79" s="290" t="s">
        <v>931</v>
      </c>
      <c r="X79" s="759">
        <v>0</v>
      </c>
    </row>
    <row s="1636" customFormat="1" customHeight="1" ht="11.25" hidden="1">
      <c r="A80" s="2393"/>
      <c r="B80" s="512"/>
      <c r="D80" s="666" t="s">
        <v>341</v>
      </c>
      <c r="E80" s="724" t="s">
        <v>932</v>
      </c>
      <c r="F80" s="661" t="s">
        <v>877</v>
      </c>
      <c r="G80" s="725"/>
      <c r="H80" s="1024"/>
      <c r="I80" s="725"/>
      <c r="J80" s="1024"/>
      <c r="K80" s="290"/>
      <c r="X80" s="759">
        <v>0</v>
      </c>
    </row>
    <row s="1636" customFormat="1" customHeight="1" ht="11.25" hidden="1">
      <c r="A81" s="2393"/>
      <c r="B81" s="512"/>
      <c r="D81" s="666" t="s">
        <v>349</v>
      </c>
      <c r="E81" s="724" t="s">
        <v>933</v>
      </c>
      <c r="F81" s="661" t="s">
        <v>877</v>
      </c>
      <c r="G81" s="725"/>
      <c r="H81" s="1024"/>
      <c r="I81" s="725"/>
      <c r="J81" s="1024"/>
      <c r="K81" s="290"/>
      <c r="X81" s="759">
        <v>0</v>
      </c>
    </row>
    <row s="1636" customFormat="1" customHeight="1" ht="11.25" hidden="1">
      <c r="A82" s="2393"/>
      <c r="B82" s="512"/>
      <c r="D82" s="666" t="s">
        <v>351</v>
      </c>
      <c r="E82" s="724" t="s">
        <v>934</v>
      </c>
      <c r="F82" s="661" t="s">
        <v>877</v>
      </c>
      <c r="G82" s="725"/>
      <c r="H82" s="1024"/>
      <c r="I82" s="725"/>
      <c r="J82" s="1024"/>
      <c r="K82" s="290"/>
      <c r="X82" s="759">
        <v>0</v>
      </c>
    </row>
    <row s="1636" customFormat="1" customHeight="1" ht="11.25" hidden="1">
      <c r="A83" s="2393"/>
      <c r="B83" s="512"/>
      <c r="D83" s="666" t="s">
        <v>353</v>
      </c>
      <c r="E83" s="724" t="s">
        <v>935</v>
      </c>
      <c r="F83" s="661" t="s">
        <v>877</v>
      </c>
      <c r="G83" s="725"/>
      <c r="H83" s="1024"/>
      <c r="I83" s="725"/>
      <c r="J83" s="1024"/>
      <c r="K83" s="290"/>
      <c r="X83" s="759">
        <v>0</v>
      </c>
    </row>
    <row s="1636" customFormat="1" customHeight="1" ht="11.25" hidden="1">
      <c r="A84" s="2393"/>
      <c r="B84" s="512"/>
      <c r="D84" s="666" t="s">
        <v>936</v>
      </c>
      <c r="E84" s="724" t="s">
        <v>937</v>
      </c>
      <c r="F84" s="661" t="s">
        <v>877</v>
      </c>
      <c r="G84" s="725"/>
      <c r="H84" s="1024"/>
      <c r="I84" s="725"/>
      <c r="J84" s="1024"/>
      <c r="K84" s="290"/>
      <c r="X84" s="759">
        <v>0</v>
      </c>
    </row>
    <row s="1636" customFormat="1" customHeight="1" ht="11.25" hidden="1">
      <c r="A85" s="2393"/>
      <c r="B85" s="512"/>
      <c r="D85" s="666" t="s">
        <v>938</v>
      </c>
      <c r="E85" s="724" t="s">
        <v>939</v>
      </c>
      <c r="F85" s="661" t="s">
        <v>877</v>
      </c>
      <c r="G85" s="725"/>
      <c r="H85" s="1024"/>
      <c r="I85" s="725"/>
      <c r="J85" s="1024"/>
      <c r="K85" s="290"/>
      <c r="X85" s="759">
        <v>0</v>
      </c>
    </row>
    <row s="1636" customFormat="1" customHeight="1" ht="11.25" hidden="1">
      <c r="A86" s="2393"/>
      <c r="B86" s="512"/>
      <c r="D86" s="666" t="s">
        <v>940</v>
      </c>
      <c r="E86" s="724" t="s">
        <v>941</v>
      </c>
      <c r="F86" s="661" t="s">
        <v>877</v>
      </c>
      <c r="G86" s="725"/>
      <c r="H86" s="1024"/>
      <c r="I86" s="725"/>
      <c r="J86" s="1024"/>
      <c r="K86" s="290"/>
      <c r="X86" s="759">
        <v>0</v>
      </c>
    </row>
    <row s="1636" customFormat="1" customHeight="1" ht="45" hidden="1">
      <c r="A87" s="2393"/>
      <c r="B87" s="512"/>
      <c r="D87" s="666" t="s">
        <v>92</v>
      </c>
      <c r="E87" s="667" t="s">
        <v>942</v>
      </c>
      <c r="F87" s="661" t="s">
        <v>877</v>
      </c>
      <c r="G87" s="725"/>
      <c r="H87" s="1024"/>
      <c r="I87" s="725"/>
      <c r="J87" s="1024"/>
      <c r="K87" s="290" t="s">
        <v>943</v>
      </c>
      <c r="X87" s="759">
        <v>0</v>
      </c>
    </row>
    <row s="1636" customFormat="1" customHeight="1" ht="11.25" hidden="1">
      <c r="A88" s="2393"/>
      <c r="B88" s="512"/>
      <c r="D88" s="666" t="s">
        <v>772</v>
      </c>
      <c r="E88" s="724" t="s">
        <v>932</v>
      </c>
      <c r="F88" s="661" t="s">
        <v>877</v>
      </c>
      <c r="G88" s="725"/>
      <c r="H88" s="1024"/>
      <c r="I88" s="725"/>
      <c r="J88" s="1024"/>
      <c r="K88" s="290"/>
      <c r="X88" s="759">
        <v>0</v>
      </c>
    </row>
    <row s="1636" customFormat="1" customHeight="1" ht="11.25" hidden="1">
      <c r="A89" s="2393"/>
      <c r="B89" s="512"/>
      <c r="D89" s="666" t="s">
        <v>814</v>
      </c>
      <c r="E89" s="724" t="s">
        <v>933</v>
      </c>
      <c r="F89" s="661" t="s">
        <v>877</v>
      </c>
      <c r="G89" s="725"/>
      <c r="H89" s="1024"/>
      <c r="I89" s="725"/>
      <c r="J89" s="1024"/>
      <c r="K89" s="290"/>
      <c r="X89" s="759">
        <v>0</v>
      </c>
    </row>
    <row s="1636" customFormat="1" customHeight="1" ht="11.25" hidden="1">
      <c r="A90" s="2393"/>
      <c r="B90" s="512"/>
      <c r="D90" s="666" t="s">
        <v>817</v>
      </c>
      <c r="E90" s="724" t="s">
        <v>934</v>
      </c>
      <c r="F90" s="661" t="s">
        <v>877</v>
      </c>
      <c r="G90" s="725"/>
      <c r="H90" s="1024"/>
      <c r="I90" s="725"/>
      <c r="J90" s="1024"/>
      <c r="K90" s="290"/>
      <c r="X90" s="759">
        <v>0</v>
      </c>
    </row>
    <row s="1636" customFormat="1" customHeight="1" ht="11.25" hidden="1">
      <c r="A91" s="2393"/>
      <c r="B91" s="512"/>
      <c r="D91" s="666" t="s">
        <v>895</v>
      </c>
      <c r="E91" s="724" t="s">
        <v>935</v>
      </c>
      <c r="F91" s="661" t="s">
        <v>877</v>
      </c>
      <c r="G91" s="725"/>
      <c r="H91" s="1024"/>
      <c r="I91" s="725"/>
      <c r="J91" s="1024"/>
      <c r="K91" s="290"/>
      <c r="X91" s="759">
        <v>0</v>
      </c>
    </row>
    <row s="1636" customFormat="1" customHeight="1" ht="11.25" hidden="1">
      <c r="A92" s="2393"/>
      <c r="B92" s="512"/>
      <c r="D92" s="666" t="s">
        <v>897</v>
      </c>
      <c r="E92" s="724" t="s">
        <v>937</v>
      </c>
      <c r="F92" s="661" t="s">
        <v>877</v>
      </c>
      <c r="G92" s="725"/>
      <c r="H92" s="1024"/>
      <c r="I92" s="725"/>
      <c r="J92" s="1024"/>
      <c r="K92" s="290"/>
      <c r="X92" s="759">
        <v>0</v>
      </c>
    </row>
    <row s="1636" customFormat="1" customHeight="1" ht="11.25" hidden="1">
      <c r="A93" s="2393"/>
      <c r="B93" s="512"/>
      <c r="D93" s="666" t="s">
        <v>944</v>
      </c>
      <c r="E93" s="724" t="s">
        <v>939</v>
      </c>
      <c r="F93" s="661" t="s">
        <v>877</v>
      </c>
      <c r="G93" s="725"/>
      <c r="H93" s="1024"/>
      <c r="I93" s="725"/>
      <c r="J93" s="1024"/>
      <c r="K93" s="290"/>
      <c r="X93" s="759">
        <v>0</v>
      </c>
    </row>
    <row s="1636" customFormat="1" customHeight="1" ht="11.25" hidden="1">
      <c r="A94" s="2393"/>
      <c r="B94" s="512"/>
      <c r="D94" s="666" t="s">
        <v>945</v>
      </c>
      <c r="E94" s="724" t="s">
        <v>941</v>
      </c>
      <c r="F94" s="661" t="s">
        <v>877</v>
      </c>
      <c r="G94" s="725"/>
      <c r="H94" s="1024"/>
      <c r="I94" s="725"/>
      <c r="J94" s="1024"/>
      <c r="K94" s="290"/>
      <c r="X94" s="759">
        <v>0</v>
      </c>
    </row>
    <row s="1636" customFormat="1" customHeight="1" ht="24.75" hidden="1">
      <c r="A95" s="2393"/>
      <c r="B95" s="512"/>
      <c r="D95" s="666" t="s">
        <v>119</v>
      </c>
      <c r="E95" s="667" t="s">
        <v>946</v>
      </c>
      <c r="F95" s="726" t="s">
        <v>577</v>
      </c>
      <c r="G95" s="728"/>
      <c r="H95" s="1024"/>
      <c r="I95" s="728"/>
      <c r="J95" s="1024"/>
      <c r="K95" s="290" t="s">
        <v>947</v>
      </c>
      <c r="X95" s="759">
        <v>0</v>
      </c>
    </row>
    <row s="1636" customFormat="1" customHeight="1" ht="33.75" hidden="1">
      <c r="A96" s="2393"/>
      <c r="B96" s="512"/>
      <c r="D96" s="666" t="s">
        <v>93</v>
      </c>
      <c r="E96" s="667" t="s">
        <v>948</v>
      </c>
      <c r="F96" s="727" t="s">
        <v>838</v>
      </c>
      <c r="G96" s="729"/>
      <c r="H96" s="1024"/>
      <c r="I96" s="729"/>
      <c r="J96" s="1024"/>
      <c r="K96" s="290"/>
      <c r="X96" s="759">
        <v>0</v>
      </c>
    </row>
    <row s="1636" customFormat="1" customHeight="1" ht="22.5" hidden="1">
      <c r="A97" s="2393"/>
      <c r="B97" s="512" t="s">
        <v>607</v>
      </c>
      <c r="D97" s="666" t="s">
        <v>94</v>
      </c>
      <c r="E97" s="667" t="s">
        <v>949</v>
      </c>
      <c r="F97" s="727" t="s">
        <v>323</v>
      </c>
      <c r="G97" s="386"/>
      <c r="H97" s="1024"/>
      <c r="I97" s="386"/>
      <c r="J97" s="1024"/>
      <c r="K97" s="290" t="s">
        <v>650</v>
      </c>
      <c r="X97" s="759">
        <v>0</v>
      </c>
    </row>
    <row s="1636" customFormat="1" customHeight="1" ht="45" hidden="1">
      <c r="A98" s="2393"/>
      <c r="B98" s="512" t="s">
        <v>607</v>
      </c>
      <c r="D98" s="666" t="s">
        <v>950</v>
      </c>
      <c r="E98" s="668" t="s">
        <v>951</v>
      </c>
      <c r="F98" s="722" t="s">
        <v>323</v>
      </c>
      <c r="G98" s="386"/>
      <c r="H98" s="1024"/>
      <c r="I98" s="386"/>
      <c r="J98" s="1024"/>
      <c r="K98" s="290" t="s">
        <v>650</v>
      </c>
      <c r="X98" s="759">
        <v>0</v>
      </c>
    </row>
    <row s="1636" customFormat="1" customHeight="1" ht="95.25" hidden="1">
      <c r="A99" s="2393"/>
      <c r="B99" s="512" t="s">
        <v>607</v>
      </c>
      <c r="D99" s="666" t="s">
        <v>120</v>
      </c>
      <c r="E99" s="667" t="s">
        <v>952</v>
      </c>
      <c r="F99" s="722" t="s">
        <v>323</v>
      </c>
      <c r="G99" s="386"/>
      <c r="H99" s="1024"/>
      <c r="I99" s="386"/>
      <c r="J99" s="1024"/>
      <c r="K99" s="290" t="s">
        <v>650</v>
      </c>
      <c r="X99" s="759">
        <v>0</v>
      </c>
    </row>
    <row s="1636" customFormat="1" customHeight="1" ht="22.5" hidden="1">
      <c r="A100" s="2393"/>
      <c r="B100" s="512" t="s">
        <v>607</v>
      </c>
      <c r="D100" s="666" t="s">
        <v>156</v>
      </c>
      <c r="E100" s="667" t="s">
        <v>953</v>
      </c>
      <c r="F100" s="722" t="s">
        <v>323</v>
      </c>
      <c r="G100" s="386"/>
      <c r="H100" s="1024"/>
      <c r="I100" s="386"/>
      <c r="J100" s="1024"/>
      <c r="K100" s="290" t="s">
        <v>650</v>
      </c>
      <c r="X100" s="759">
        <v>0</v>
      </c>
    </row>
    <row s="1636" customFormat="1" customHeight="1" ht="11.549999999999999">
      <c r="A101" s="1034"/>
      <c r="B101" s="519"/>
      <c r="D101" s="1035"/>
      <c r="E101" s="1036"/>
      <c r="X101" s="510">
        <v>11</v>
      </c>
    </row>
    <row customHeight="1" ht="22.5" hidden="1">
      <c r="A102" s="537" t="s">
        <v>83</v>
      </c>
      <c r="B102" s="512">
        <v>0</v>
      </c>
      <c r="C102" s="506">
        <v>3</v>
      </c>
      <c r="D102" s="506">
        <v>7</v>
      </c>
      <c r="E102" s="506">
        <v>69</v>
      </c>
      <c r="F102" s="506">
        <v>10</v>
      </c>
      <c r="G102" s="506">
        <v>0</v>
      </c>
      <c r="H102" s="506">
        <v>0</v>
      </c>
      <c r="I102" s="759">
        <v>43</v>
      </c>
      <c r="J102" s="759">
        <v>43</v>
      </c>
      <c r="K102" s="506">
        <v>73</v>
      </c>
      <c r="L102" s="506">
        <v>3</v>
      </c>
      <c r="M102" s="506">
        <v>10</v>
      </c>
      <c r="N102" s="506">
        <v>10</v>
      </c>
      <c r="O102" s="506">
        <v>10</v>
      </c>
      <c r="P102" s="506">
        <v>10</v>
      </c>
      <c r="Q102" s="506">
        <v>10</v>
      </c>
      <c r="R102" s="506">
        <v>10</v>
      </c>
      <c r="S102" s="506">
        <v>10</v>
      </c>
      <c r="T102" s="506">
        <v>10</v>
      </c>
      <c r="U102" s="506">
        <v>10</v>
      </c>
      <c r="V102" s="506">
        <v>10</v>
      </c>
      <c r="W102" s="506">
        <v>10</v>
      </c>
      <c r="X102" s="506">
        <v>23</v>
      </c>
    </row>
  </sheetData>
  <sheetProtection formatColumns="0" formatRows="0" autoFilter="0" sort="0" insertRows="0" insertColumns="1" deleteRows="0" deleteColumns="0"/>
  <mergeCells count="18">
    <mergeCell ref="D3:F3"/>
    <mergeCell ref="K7:K11"/>
    <mergeCell ref="G7:H7"/>
    <mergeCell ref="E7:F7"/>
    <mergeCell ref="E8:F8"/>
    <mergeCell ref="E9:F9"/>
    <mergeCell ref="G8:H8"/>
    <mergeCell ref="G9:H9"/>
    <mergeCell ref="D4:F4"/>
    <mergeCell ref="I7:J7"/>
    <mergeCell ref="I8:J8"/>
    <mergeCell ref="I9:J9"/>
    <mergeCell ref="D10:J10"/>
    <mergeCell ref="A37:A63"/>
    <mergeCell ref="A65:A75"/>
    <mergeCell ref="A77:A100"/>
    <mergeCell ref="A13:A35"/>
    <mergeCell ref="A11:B11"/>
  </mergeCells>
  <dataValidations count="6">
    <dataValidation type="textLength" operator="lessThanOrEqual" allowBlank="1" showInputMessage="1" showErrorMessage="1" errorTitle="Ошибка" error="Допускается ввод не более 900 символов!" sqref="H21:H22 H29:H30 H24 H26:H27 H15:H18 J26:J27 J15:J18 J21:J22 J29:J30 J24">
      <formula1>900</formula1>
    </dataValidation>
    <dataValidation type="whole" allowBlank="1" showErrorMessage="1" errorTitle="Ошибка" error="Допускается ввод только неотрицательных целых чисел!" sqref="G16:G17 I16:I17">
      <formula1>0</formula1>
      <formula2>9.99999999999999E+23</formula2>
    </dataValidation>
    <dataValidation type="decimal" allowBlank="1" showErrorMessage="1" errorTitle="Ошибка" error="Допускается ввод только неотрицательных чисел!" sqref="G32 G67:G68 G39:G40 G37 G44:G59 G61 G77:G94 G73 G71 G96 G65 G18 G13:G14 G29:G30 G26:G27 I32 I67:I68 I39:I40 I37 I44:I59 I61 I77:I94 I73 I71 I96 I65 I18 I13:I14 I29:I30 I26:I27 I21:I22 G24 G21:G22 I24">
      <formula1>0</formula1>
      <formula2>9.99999999999999E+23</formula2>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H31:H32 J31:J32 G62:G63 G74:G75 G97:G100 I62:I63 I74:I75 I97:I100 H13:H14 H19 J19 J13:J14">
      <formula1>900</formula1>
    </dataValidation>
    <dataValidation type="decimal" allowBlank="1" showErrorMessage="1" errorTitle="Ошибка" error="Введите значение от 0 до 100%" sqref="G31 G95 G60 G72 G42:G43 G69:G70 I31 I95 I60 I72 I42:I43 I69:I70">
      <formula1>0</formula1>
      <formula2>100</formula2>
    </dataValidation>
    <dataValidation type="list" allowBlank="1" showInputMessage="1" errorTitle="Ошибка" error="Укажите значение вручную или выберите из списка!" prompt="Укажите значение вручную или выберите из списка" sqref="G19 I19">
      <formula1>"Не утверждены"</formula1>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35F86368-B28D-61F6-4C98-01BD3F5FB55D}" mc:Ignorable="x14ac xr xr2 xr3">
  <sheetPr>
    <tabColor rgb="FFCCCCFF"/>
  </sheetPr>
  <dimension ref="A1:AM17"/>
  <sheetViews>
    <sheetView showGridLines="0" zoomScale="90" workbookViewId="0">
      <pane xSplit="4" ySplit="12" topLeftCell="E13" activePane="bottomRight" state="frozen"/>
      <selection pane="bottomLeft" activeCell="A13" sqref="A13"/>
      <selection pane="topRight" activeCell="E1" sqref="E1"/>
      <selection pane="bottomRight" activeCell="A1" sqref="A1"/>
    </sheetView>
  </sheetViews>
  <sheetFormatPr defaultColWidth="9.140625" customHeight="1" defaultRowHeight="11.25"/>
  <cols>
    <col min="1" max="1" style="1854" width="6.421875" hidden="1" customWidth="1"/>
    <col min="2" max="2" style="1854" width="2.00390625" hidden="1" customWidth="1"/>
    <col min="3" max="3" style="1854" width="3.00390625" customWidth="1"/>
    <col min="4" max="4" style="1854" width="4.00390625" customWidth="1"/>
    <col min="5" max="5" style="1854" width="44.00390625" customWidth="1"/>
    <col min="6" max="6" style="1854" width="6.421875" customWidth="1"/>
    <col min="7" max="7" style="1854" width="4.00390625" customWidth="1"/>
    <col min="8" max="8" style="1854" width="5.00390625" customWidth="1"/>
    <col min="9" max="9" style="1854" width="52.00390625" customWidth="1"/>
    <col min="10" max="10" style="1854" width="7.00390625" customWidth="1"/>
    <col min="11" max="11" style="1854" width="3.00390625" customWidth="1"/>
    <col min="12" max="12" style="1854" width="6.00390625" customWidth="1"/>
    <col min="13" max="13" style="1854" width="56.00390625" customWidth="1"/>
    <col min="14" max="14" style="1371" width="8.00390625" customWidth="1"/>
    <col min="15" max="20" style="1625" width="9.140625" hidden="1"/>
    <col min="21" max="24" style="1267" width="9.140625" hidden="1"/>
    <col min="25" max="37" style="1371" width="9.140625" hidden="1"/>
    <col min="38" max="38" style="1371" width="8.00390625" customWidth="1"/>
    <col min="39" max="39" style="1854" width="9.140625" hidden="1"/>
  </cols>
  <sheetData>
    <row customHeight="1" ht="11.25" hidden="1">
      <c r="AM1" s="584" t="s">
        <v>14</v>
      </c>
    </row>
    <row customHeight="1" ht="11.25" hidden="1">
      <c r="AM2" s="584">
        <v>0</v>
      </c>
    </row>
    <row customHeight="1" ht="11.549999999999999">
      <c r="AM3" s="584">
        <v>11</v>
      </c>
    </row>
    <row customHeight="1" ht="35.699999999999996">
      <c r="A4" s="586"/>
      <c r="B4" s="586"/>
      <c r="D4" s="2120" t="str">
        <f>Титульный!E5</f>
        <v>Предложение регулируемой организации об установлении тарифов в сфере теплоснабжения, информация о способах приобретения, стоимости и объемах товаров, необходимых для производства регулируемых товаров и (или) оказания регулируемых услуг</v>
      </c>
      <c r="E4" s="2121"/>
      <c r="F4" s="2121"/>
      <c r="G4" s="2121"/>
      <c r="H4" s="2121"/>
      <c r="I4" s="2122"/>
      <c r="J4" s="585"/>
      <c r="K4" s="585"/>
      <c r="L4" s="585"/>
      <c r="M4" s="585"/>
      <c r="AM4" s="584">
        <v>34</v>
      </c>
    </row>
    <row s="590" customFormat="1" customHeight="1" ht="14.699999999999998">
      <c r="A5" s="586"/>
      <c r="B5" s="586"/>
      <c r="C5" s="586"/>
      <c r="D5" s="2123" t="str">
        <f>IF(org=0,"Не определено",org)</f>
        <v>ПАО "КГК"</v>
      </c>
      <c r="E5" s="2124"/>
      <c r="F5" s="2124"/>
      <c r="G5" s="2124"/>
      <c r="H5" s="2124"/>
      <c r="I5" s="2125"/>
      <c r="J5" s="587"/>
      <c r="K5" s="587"/>
      <c r="L5" s="587"/>
      <c r="M5" s="587"/>
      <c r="N5" s="587"/>
      <c r="O5" s="871"/>
      <c r="P5" s="871"/>
      <c r="Q5" s="871"/>
      <c r="R5" s="871"/>
      <c r="S5" s="871"/>
      <c r="T5" s="871"/>
      <c r="U5" s="1262"/>
      <c r="V5" s="1262"/>
      <c r="W5" s="1262"/>
      <c r="X5" s="1262"/>
      <c r="Y5" s="587"/>
      <c r="Z5" s="587"/>
      <c r="AA5" s="587"/>
      <c r="AB5" s="587"/>
      <c r="AC5" s="587"/>
      <c r="AD5" s="587"/>
      <c r="AE5" s="587"/>
      <c r="AF5" s="587"/>
      <c r="AG5" s="587"/>
      <c r="AH5" s="587"/>
      <c r="AI5" s="587"/>
      <c r="AJ5" s="587"/>
      <c r="AK5" s="587"/>
      <c r="AL5" s="587"/>
      <c r="AM5" s="588">
        <v>14</v>
      </c>
    </row>
    <row s="590" customFormat="1" customHeight="1" ht="6.3">
      <c r="A6" s="2126"/>
      <c r="B6" s="2126"/>
      <c r="C6" s="2126"/>
      <c r="D6" s="2126"/>
      <c r="E6" s="2126"/>
      <c r="F6" s="2126"/>
      <c r="G6" s="589"/>
      <c r="H6" s="589"/>
      <c r="I6" s="589"/>
      <c r="J6" s="589"/>
      <c r="K6" s="589"/>
      <c r="N6" s="591"/>
      <c r="O6" s="1415"/>
      <c r="P6" s="1415"/>
      <c r="Q6" s="1415"/>
      <c r="R6" s="1415"/>
      <c r="S6" s="1415"/>
      <c r="T6" s="1415"/>
      <c r="U6" s="1265"/>
      <c r="V6" s="1265"/>
      <c r="W6" s="1265"/>
      <c r="X6" s="1265"/>
      <c r="Y6" s="591"/>
      <c r="Z6" s="591"/>
      <c r="AA6" s="591"/>
      <c r="AB6" s="591"/>
      <c r="AC6" s="591"/>
      <c r="AD6" s="591"/>
      <c r="AE6" s="591"/>
      <c r="AF6" s="591"/>
      <c r="AG6" s="591"/>
      <c r="AH6" s="591"/>
      <c r="AI6" s="591"/>
      <c r="AJ6" s="591"/>
      <c r="AK6" s="591"/>
      <c r="AL6" s="591"/>
      <c r="AM6" s="590">
        <v>6</v>
      </c>
    </row>
    <row customHeight="1" ht="45.75" hidden="1">
      <c r="E7" s="2131" t="str">
        <f>"1. В случае дифференциации раскрываемой информации по системам "&amp;TEMPLATE_SPHERE_RUS&amp;" для каждой системы "&amp;TEMPLATE_SPHERE_RUS&amp;"должна быть указана территория, в которую входят только те муниципальные районы и муниципальные образования, на которой расположена данная система. На веб-портале РИ системы "&amp;TEMPLATE_SPHERE_RUS&amp;"будут отображены во всех МР/МО, входящих в указанную для них территорию.
2. Для каждого вида деятельности также необходимо указывать только те территории, на которых осуществляется данный вид деятельности."</f>
        <v>1. В случае дифференциации раскрываемой информации по системам теплоснабжения для каждой системы теплоснабжениядолжна быть указана территория, в которую входят только те муниципальные районы и муниципальные образования, на которой расположена данная система. На веб-портале РИ системы теплоснабжениябудут отображены во всех МР/МО, входящих в указанную для них территорию.
2. Для каждого вида деятельности также необходимо указывать только те территории, на которых осуществляется данный вид деятельности.</v>
      </c>
      <c r="F7" s="2132"/>
      <c r="G7" s="2132"/>
      <c r="H7" s="2132"/>
      <c r="I7" s="2132"/>
      <c r="J7" s="2132"/>
      <c r="K7" s="2132"/>
      <c r="L7" s="2132"/>
      <c r="M7" s="2132"/>
      <c r="AM7" s="584">
        <v>0</v>
      </c>
    </row>
    <row s="590" customFormat="1" customHeight="1" ht="6.3">
      <c r="A8" s="592"/>
      <c r="B8" s="592"/>
      <c r="C8" s="592"/>
      <c r="D8" s="592"/>
      <c r="E8" s="592"/>
      <c r="F8" s="592"/>
      <c r="G8" s="592"/>
      <c r="H8" s="592"/>
      <c r="I8" s="592"/>
      <c r="J8" s="592"/>
      <c r="K8" s="592"/>
      <c r="L8" s="592"/>
      <c r="M8" s="590"/>
      <c r="N8" s="587"/>
      <c r="O8" s="871"/>
      <c r="P8" s="871"/>
      <c r="Q8" s="871"/>
      <c r="R8" s="871"/>
      <c r="S8" s="871"/>
      <c r="T8" s="871"/>
      <c r="U8" s="1262"/>
      <c r="V8" s="1262"/>
      <c r="W8" s="1262"/>
      <c r="X8" s="1262"/>
      <c r="Y8" s="587"/>
      <c r="Z8" s="587"/>
      <c r="AA8" s="587"/>
      <c r="AB8" s="587"/>
      <c r="AC8" s="587"/>
      <c r="AD8" s="587"/>
      <c r="AE8" s="587"/>
      <c r="AF8" s="587"/>
      <c r="AG8" s="587"/>
      <c r="AH8" s="587"/>
      <c r="AI8" s="587"/>
      <c r="AJ8" s="587"/>
      <c r="AK8" s="587"/>
      <c r="AL8" s="587"/>
      <c r="AM8" s="588">
        <v>6</v>
      </c>
    </row>
    <row customHeight="1" ht="18.75">
      <c r="A9" s="2127"/>
      <c r="B9" s="324"/>
      <c r="C9" s="324"/>
      <c r="D9" s="2128" t="s">
        <v>114</v>
      </c>
      <c r="E9" s="2128"/>
      <c r="F9" s="2129" t="s">
        <v>115</v>
      </c>
      <c r="G9" s="2130"/>
      <c r="H9" s="2130"/>
      <c r="I9" s="2130"/>
      <c r="J9" s="2133" t="s">
        <v>116</v>
      </c>
      <c r="K9" s="2133"/>
      <c r="L9" s="2133"/>
      <c r="M9" s="2133"/>
      <c r="AM9" s="584">
        <v>18</v>
      </c>
    </row>
    <row customHeight="1" ht="24">
      <c r="A10" s="2127"/>
      <c r="B10" s="593"/>
      <c r="C10" s="526"/>
      <c r="D10" s="524" t="s">
        <v>89</v>
      </c>
      <c r="E10" s="524" t="s">
        <v>90</v>
      </c>
      <c r="F10" s="524" t="s">
        <v>117</v>
      </c>
      <c r="G10" s="2134" t="s">
        <v>89</v>
      </c>
      <c r="H10" s="2135"/>
      <c r="I10" s="524" t="s">
        <v>90</v>
      </c>
      <c r="J10" s="524" t="s">
        <v>117</v>
      </c>
      <c r="K10" s="2134" t="s">
        <v>89</v>
      </c>
      <c r="L10" s="2135"/>
      <c r="M10" s="524" t="s">
        <v>90</v>
      </c>
      <c r="N10" s="1628"/>
      <c r="AM10" s="584">
        <v>23</v>
      </c>
    </row>
    <row s="1854" customFormat="1" customHeight="1" ht="11.25" hidden="1">
      <c r="A11" s="594"/>
      <c r="B11" s="594"/>
      <c r="C11" s="594"/>
      <c r="D11" s="595" t="s">
        <v>118</v>
      </c>
      <c r="E11" s="595" t="s">
        <v>103</v>
      </c>
      <c r="F11" s="595" t="s">
        <v>91</v>
      </c>
      <c r="G11" s="2116" t="s">
        <v>92</v>
      </c>
      <c r="H11" s="2117"/>
      <c r="I11" s="595" t="s">
        <v>119</v>
      </c>
      <c r="J11" s="595" t="s">
        <v>93</v>
      </c>
      <c r="K11" s="2118" t="s">
        <v>94</v>
      </c>
      <c r="L11" s="2119"/>
      <c r="M11" s="595" t="s">
        <v>120</v>
      </c>
      <c r="N11" s="1627"/>
      <c r="O11" s="1414"/>
      <c r="P11" s="1416"/>
      <c r="Q11" s="1416"/>
      <c r="R11" s="1416"/>
      <c r="S11" s="1416"/>
      <c r="T11" s="1416"/>
      <c r="U11" s="1266"/>
      <c r="V11" s="1266"/>
      <c r="W11" s="1266"/>
      <c r="X11" s="1266"/>
      <c r="Y11" s="596"/>
      <c r="Z11" s="596"/>
      <c r="AA11" s="596"/>
      <c r="AB11" s="596"/>
      <c r="AC11" s="596"/>
      <c r="AD11" s="596"/>
      <c r="AE11" s="596"/>
      <c r="AF11" s="596"/>
      <c r="AG11" s="596"/>
      <c r="AH11" s="596"/>
      <c r="AI11" s="596"/>
      <c r="AJ11" s="596"/>
      <c r="AK11" s="596"/>
      <c r="AL11" s="596"/>
      <c r="AM11" s="597">
        <v>0</v>
      </c>
    </row>
    <row customHeight="1" ht="1.05">
      <c r="A12" s="598"/>
      <c r="B12" s="599"/>
      <c r="C12" s="599"/>
      <c r="D12" s="600"/>
      <c r="E12" s="368"/>
      <c r="F12" s="601"/>
      <c r="G12" s="1060"/>
      <c r="H12" s="1060"/>
      <c r="I12" s="601"/>
      <c r="J12" s="601"/>
      <c r="K12" s="175"/>
      <c r="L12" s="368"/>
      <c r="M12" s="602"/>
      <c r="N12" s="1628"/>
      <c r="O12" s="1414" t="s">
        <v>121</v>
      </c>
      <c r="P12" s="1414" t="s">
        <v>122</v>
      </c>
      <c r="Q12" s="1414" t="s">
        <v>123</v>
      </c>
      <c r="R12" s="1414" t="s">
        <v>124</v>
      </c>
      <c r="AM12" s="584">
        <v>1</v>
      </c>
    </row>
    <row s="1854" customFormat="1" customHeight="1" ht="15.75">
      <c r="A13" s="294"/>
      <c r="B13" s="294"/>
      <c r="C13" s="527"/>
      <c r="D13" s="2109" t="s">
        <v>118</v>
      </c>
      <c r="E13" s="2110"/>
      <c r="F13" s="2113" t="s">
        <v>61</v>
      </c>
      <c r="G13" s="2114"/>
      <c r="H13" s="2115">
        <v>1</v>
      </c>
      <c r="I13" s="2106" t="str">
        <f>IF(U13="","",INDEX(TERRITORY_MR_LIST,MATCH(U13,TERRITORY_LIST_ID,0)))</f>
        <v/>
      </c>
      <c r="J13" s="2108" t="s">
        <v>19</v>
      </c>
      <c r="K13" s="603"/>
      <c r="L13" s="528" t="s">
        <v>118</v>
      </c>
      <c r="M13" s="604" t="s">
        <v>28</v>
      </c>
      <c r="N13" s="813"/>
      <c r="O13" s="1417" t="s">
        <v>125</v>
      </c>
      <c r="P13" s="1414">
        <f>$E$13</f>
        <v>0</v>
      </c>
      <c r="Q13" s="1414" t="str">
        <f>IF($F$13="нет","без дифференциации",$I$13)</f>
        <v/>
      </c>
      <c r="R13" s="1414" t="str">
        <f>IF($J$13="нет","без дифференциации",M13)</f>
        <v>без дифференциации</v>
      </c>
      <c r="S13" s="1417"/>
      <c r="T13" s="1417"/>
      <c r="U13" s="1267"/>
      <c r="V13" s="1267"/>
      <c r="W13" s="1267"/>
      <c r="X13" s="1267"/>
      <c r="Y13" s="605" t="s">
        <v>126</v>
      </c>
      <c r="Z13" s="605">
        <v>1705000</v>
      </c>
      <c r="AA13" s="605"/>
      <c r="AB13" s="605"/>
      <c r="AC13" s="605"/>
      <c r="AD13" s="605"/>
      <c r="AE13" s="605"/>
      <c r="AF13" s="605"/>
      <c r="AG13" s="605"/>
      <c r="AH13" s="605"/>
      <c r="AI13" s="605"/>
      <c r="AJ13" s="605"/>
      <c r="AK13" s="605"/>
      <c r="AL13" s="605"/>
      <c r="AM13" s="607">
        <v>15</v>
      </c>
    </row>
    <row s="1854" customFormat="1" customHeight="1" ht="15.75">
      <c r="A14" s="294"/>
      <c r="B14" s="294"/>
      <c r="C14" s="177"/>
      <c r="D14" s="2109"/>
      <c r="E14" s="2111"/>
      <c r="F14" s="2108"/>
      <c r="G14" s="2114"/>
      <c r="H14" s="2115"/>
      <c r="I14" s="2107"/>
      <c r="J14" s="2108"/>
      <c r="K14" s="422"/>
      <c r="L14" s="178"/>
      <c r="M14" s="608" t="s">
        <v>127</v>
      </c>
      <c r="N14" s="813"/>
      <c r="O14" s="1417"/>
      <c r="P14" s="1414"/>
      <c r="Q14" s="1414"/>
      <c r="R14" s="1414"/>
      <c r="S14" s="1417"/>
      <c r="T14" s="1417"/>
      <c r="U14" s="1267"/>
      <c r="V14" s="1267"/>
      <c r="W14" s="1267"/>
      <c r="X14" s="1267"/>
      <c r="Y14" s="605"/>
      <c r="Z14" s="605"/>
      <c r="AA14" s="605"/>
      <c r="AB14" s="605"/>
      <c r="AC14" s="605"/>
      <c r="AD14" s="605"/>
      <c r="AE14" s="605"/>
      <c r="AF14" s="605"/>
      <c r="AG14" s="605"/>
      <c r="AH14" s="605"/>
      <c r="AI14" s="605"/>
      <c r="AJ14" s="605"/>
      <c r="AK14" s="605"/>
      <c r="AL14" s="605"/>
      <c r="AM14" s="607">
        <v>15</v>
      </c>
    </row>
    <row s="1854" customFormat="1" customHeight="1" ht="15.75">
      <c r="A15" s="294"/>
      <c r="B15" s="294"/>
      <c r="C15" s="177"/>
      <c r="D15" s="2109"/>
      <c r="E15" s="2112"/>
      <c r="F15" s="2108"/>
      <c r="G15" s="1061"/>
      <c r="H15" s="1062"/>
      <c r="I15" s="581" t="s">
        <v>128</v>
      </c>
      <c r="J15" s="178"/>
      <c r="K15" s="178"/>
      <c r="L15" s="178"/>
      <c r="M15" s="609"/>
      <c r="N15" s="813"/>
      <c r="O15" s="1417"/>
      <c r="P15" s="1414"/>
      <c r="Q15" s="1414"/>
      <c r="R15" s="1414"/>
      <c r="S15" s="1417"/>
      <c r="T15" s="1417"/>
      <c r="U15" s="1267"/>
      <c r="V15" s="1267"/>
      <c r="W15" s="1267"/>
      <c r="X15" s="1267"/>
      <c r="Y15" s="605"/>
      <c r="Z15" s="605"/>
      <c r="AA15" s="605"/>
      <c r="AB15" s="605"/>
      <c r="AC15" s="605"/>
      <c r="AD15" s="605"/>
      <c r="AE15" s="605"/>
      <c r="AF15" s="605"/>
      <c r="AG15" s="605"/>
      <c r="AH15" s="605"/>
      <c r="AI15" s="605"/>
      <c r="AJ15" s="605"/>
      <c r="AK15" s="605"/>
      <c r="AL15" s="605"/>
      <c r="AM15" s="607">
        <v>15</v>
      </c>
    </row>
    <row customHeight="1" ht="15.75">
      <c r="A16" s="610"/>
      <c r="B16" s="136"/>
      <c r="C16" s="807"/>
      <c r="D16" s="422"/>
      <c r="E16" s="572" t="s">
        <v>129</v>
      </c>
      <c r="F16" s="178"/>
      <c r="G16" s="178"/>
      <c r="H16" s="178"/>
      <c r="I16" s="178"/>
      <c r="J16" s="178"/>
      <c r="K16" s="178" t="s">
        <v>28</v>
      </c>
      <c r="L16" s="178"/>
      <c r="M16" s="609"/>
      <c r="N16" s="1628"/>
      <c r="AM16" s="584">
        <v>15</v>
      </c>
    </row>
    <row customHeight="1" ht="11.25" hidden="1">
      <c r="A17" s="584" t="s">
        <v>83</v>
      </c>
      <c r="B17" s="584">
        <v>0</v>
      </c>
      <c r="C17" s="584">
        <v>3</v>
      </c>
      <c r="D17" s="584">
        <v>4</v>
      </c>
      <c r="E17" s="584">
        <v>44</v>
      </c>
      <c r="F17" s="584">
        <v>6</v>
      </c>
      <c r="G17" s="584">
        <v>4</v>
      </c>
      <c r="H17" s="584">
        <v>5</v>
      </c>
      <c r="I17" s="584">
        <v>52</v>
      </c>
      <c r="J17" s="584">
        <v>6</v>
      </c>
      <c r="K17" s="584">
        <v>3</v>
      </c>
      <c r="L17" s="584">
        <v>6</v>
      </c>
      <c r="M17" s="584">
        <v>56</v>
      </c>
      <c r="N17" s="585">
        <v>8</v>
      </c>
      <c r="O17" s="1414">
        <v>0</v>
      </c>
      <c r="P17" s="1414">
        <v>0</v>
      </c>
      <c r="Q17" s="1414">
        <v>0</v>
      </c>
      <c r="R17" s="1414">
        <v>0</v>
      </c>
      <c r="S17" s="1414">
        <v>0</v>
      </c>
      <c r="T17" s="1414">
        <v>0</v>
      </c>
      <c r="U17" s="1264">
        <v>0</v>
      </c>
      <c r="V17" s="1264">
        <v>0</v>
      </c>
      <c r="W17" s="1264">
        <v>0</v>
      </c>
      <c r="X17" s="1264">
        <v>0</v>
      </c>
      <c r="Y17" s="585">
        <v>0</v>
      </c>
      <c r="Z17" s="585">
        <v>0</v>
      </c>
      <c r="AA17" s="585">
        <v>0</v>
      </c>
      <c r="AB17" s="585">
        <v>0</v>
      </c>
      <c r="AC17" s="585">
        <v>0</v>
      </c>
      <c r="AD17" s="585">
        <v>0</v>
      </c>
      <c r="AE17" s="585">
        <v>0</v>
      </c>
      <c r="AF17" s="585">
        <v>0</v>
      </c>
      <c r="AG17" s="585">
        <v>0</v>
      </c>
      <c r="AH17" s="585">
        <v>0</v>
      </c>
      <c r="AI17" s="585">
        <v>0</v>
      </c>
      <c r="AJ17" s="585">
        <v>0</v>
      </c>
      <c r="AK17" s="585">
        <v>0</v>
      </c>
      <c r="AL17" s="585">
        <v>8</v>
      </c>
      <c r="AM17" s="584">
        <v>11</v>
      </c>
    </row>
  </sheetData>
  <sheetProtection formatColumns="0" formatRows="0" autoFilter="0" sort="0" insertRows="0" insertColumns="1" deleteRows="0" deleteColumns="0"/>
  <mergeCells count="19">
    <mergeCell ref="G11:H11"/>
    <mergeCell ref="K11:L11"/>
    <mergeCell ref="D4:I4"/>
    <mergeCell ref="D5:I5"/>
    <mergeCell ref="A6:F6"/>
    <mergeCell ref="A9:A10"/>
    <mergeCell ref="D9:E9"/>
    <mergeCell ref="F9:I9"/>
    <mergeCell ref="E7:M7"/>
    <mergeCell ref="J9:M9"/>
    <mergeCell ref="G10:H10"/>
    <mergeCell ref="K10:L10"/>
    <mergeCell ref="I13:I14"/>
    <mergeCell ref="J13:J14"/>
    <mergeCell ref="D13:D15"/>
    <mergeCell ref="E13:E15"/>
    <mergeCell ref="F13:F15"/>
    <mergeCell ref="G13:G14"/>
    <mergeCell ref="H13:H14"/>
  </mergeCells>
  <dataValidations count="1">
    <dataValidation type="textLength" operator="lessThan" allowBlank="1" showInputMessage="1" showErrorMessage="1" error="Допускается ввод не более 900 символов!" sqref="M13">
      <formula1>900</formula1>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drawing r:id="rId1"/>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31400EF8-08D4-B9A5-D5D5-D0F0679C7418}" mc:Ignorable="x14ac xr xr2 xr3">
  <sheetPr>
    <tabColor rgb="FFE26B0A"/>
  </sheetPr>
  <dimension ref="A1:V40"/>
  <sheetViews>
    <sheetView showGridLines="0" zoomScale="90" workbookViewId="0">
      <pane xSplit="8" ySplit="31" topLeftCell="I32" activePane="bottomRight" state="frozen"/>
      <selection pane="bottomLeft" activeCell="A32" sqref="A32"/>
      <selection pane="topRight" activeCell="I1" sqref="I1"/>
      <selection pane="bottomRight" activeCell="A1" sqref="A1"/>
    </sheetView>
  </sheetViews>
  <sheetFormatPr defaultColWidth="10.57421875" customHeight="1" defaultRowHeight="15"/>
  <cols>
    <col min="1" max="1" style="1633" width="9.140625" hidden="1" customWidth="1"/>
    <col min="2" max="2" style="1636" width="9.140625" hidden="1" customWidth="1"/>
    <col min="3" max="3" style="684" width="4.00390625" customWidth="1"/>
    <col min="4" max="4" style="1636" width="6.00390625" customWidth="1"/>
    <col min="5" max="5" style="1636" width="36.00390625" customWidth="1"/>
    <col min="6" max="6" style="1636" width="9.00390625" customWidth="1"/>
    <col min="7" max="7" style="1636" width="25.7109375" hidden="1" customWidth="1"/>
    <col min="8" max="8" style="1636" width="33.7109375" hidden="1" customWidth="1"/>
    <col min="9" max="9" style="1636" width="25.7109375" customWidth="1"/>
    <col min="10" max="10" style="1636" width="33.00390625" customWidth="1"/>
    <col min="11" max="11" style="1367" width="93.00390625" customWidth="1"/>
    <col min="12" max="20" style="1636" width="10.00390625" customWidth="1"/>
    <col min="21" max="21" style="676" width="10.00390625" customWidth="1"/>
    <col min="22" max="22" style="1636" width="10.57421875" hidden="1"/>
  </cols>
  <sheetData>
    <row s="1367" customFormat="1" customHeight="1" ht="22.5" hidden="1">
      <c r="C1" s="673"/>
      <c r="G1" s="418">
        <v>4</v>
      </c>
      <c r="I1" s="418">
        <v>4</v>
      </c>
      <c r="U1" s="421"/>
      <c r="V1" s="418" t="s">
        <v>14</v>
      </c>
    </row>
    <row s="1367" customFormat="1" customHeight="1" ht="15" hidden="1">
      <c r="C2" s="673"/>
      <c r="U2" s="421"/>
      <c r="V2" s="418">
        <v>0</v>
      </c>
    </row>
    <row customHeight="1" ht="22.5" hidden="1">
      <c r="A3" s="506"/>
      <c r="B3" s="2398"/>
      <c r="C3" s="2399" t="s">
        <v>104</v>
      </c>
      <c r="D3" s="690" t="str">
        <f>B3&amp;".1"</f>
        <v>.1</v>
      </c>
      <c r="E3" s="691" t="s">
        <v>954</v>
      </c>
      <c r="F3" s="692" t="s">
        <v>323</v>
      </c>
      <c r="G3" s="687"/>
      <c r="H3" s="402"/>
      <c r="I3" s="687"/>
      <c r="J3" s="402"/>
      <c r="K3" s="290" t="s">
        <v>955</v>
      </c>
      <c r="V3" s="506">
        <v>0</v>
      </c>
    </row>
    <row customHeight="1" ht="15" hidden="1">
      <c r="A4" s="506"/>
      <c r="B4" s="2398"/>
      <c r="C4" s="2399"/>
      <c r="D4" s="690" t="str">
        <f>B3&amp;".2"</f>
        <v>.2</v>
      </c>
      <c r="E4" s="691" t="s">
        <v>956</v>
      </c>
      <c r="F4" s="692" t="s">
        <v>323</v>
      </c>
      <c r="G4" s="1739" t="s">
        <v>28</v>
      </c>
      <c r="H4" s="402"/>
      <c r="I4" s="1739" t="s">
        <v>28</v>
      </c>
      <c r="J4" s="402"/>
      <c r="K4" s="290" t="s">
        <v>957</v>
      </c>
      <c r="V4" s="506">
        <v>0</v>
      </c>
    </row>
    <row s="1367" customFormat="1" customHeight="1" ht="15" hidden="1">
      <c r="C5" s="673"/>
      <c r="U5" s="421"/>
      <c r="V5" s="418">
        <v>0</v>
      </c>
    </row>
    <row customHeight="1" ht="22.5" hidden="1">
      <c r="A6" s="506"/>
      <c r="B6" s="2398"/>
      <c r="C6" s="2399" t="s">
        <v>104</v>
      </c>
      <c r="D6" s="690" t="str">
        <f>B6&amp;".1"</f>
        <v>.1</v>
      </c>
      <c r="E6" s="691" t="s">
        <v>958</v>
      </c>
      <c r="F6" s="692" t="s">
        <v>323</v>
      </c>
      <c r="G6" s="687"/>
      <c r="H6" s="402"/>
      <c r="I6" s="687"/>
      <c r="J6" s="402"/>
      <c r="K6" s="290" t="s">
        <v>959</v>
      </c>
      <c r="V6" s="506">
        <v>0</v>
      </c>
    </row>
    <row customHeight="1" ht="15" hidden="1">
      <c r="A7" s="506"/>
      <c r="B7" s="2398"/>
      <c r="C7" s="2399"/>
      <c r="D7" s="690" t="str">
        <f>B6&amp;".2"</f>
        <v>.2</v>
      </c>
      <c r="E7" s="691" t="s">
        <v>956</v>
      </c>
      <c r="F7" s="692" t="s">
        <v>323</v>
      </c>
      <c r="G7" s="1739" t="s">
        <v>28</v>
      </c>
      <c r="H7" s="402"/>
      <c r="I7" s="1739" t="s">
        <v>28</v>
      </c>
      <c r="J7" s="402"/>
      <c r="K7" s="290" t="s">
        <v>957</v>
      </c>
      <c r="V7" s="506">
        <v>0</v>
      </c>
    </row>
    <row s="1367" customFormat="1" customHeight="1" ht="15" hidden="1">
      <c r="C8" s="673"/>
      <c r="U8" s="421"/>
      <c r="V8" s="418">
        <v>0</v>
      </c>
    </row>
    <row customHeight="1" ht="22.5" hidden="1">
      <c r="A9" s="506"/>
      <c r="B9" s="2398"/>
      <c r="C9" s="2399" t="s">
        <v>104</v>
      </c>
      <c r="D9" s="690" t="str">
        <f>B9&amp;".1"</f>
        <v>.1</v>
      </c>
      <c r="E9" s="691" t="s">
        <v>960</v>
      </c>
      <c r="F9" s="692" t="s">
        <v>323</v>
      </c>
      <c r="G9" s="698" t="s">
        <v>28</v>
      </c>
      <c r="H9" s="402" t="s">
        <v>28</v>
      </c>
      <c r="I9" s="698" t="s">
        <v>28</v>
      </c>
      <c r="J9" s="402" t="s">
        <v>28</v>
      </c>
      <c r="K9" s="290"/>
      <c r="V9" s="506">
        <v>0</v>
      </c>
    </row>
    <row customHeight="1" ht="15" hidden="1">
      <c r="A10" s="506"/>
      <c r="B10" s="2398"/>
      <c r="C10" s="2399"/>
      <c r="D10" s="690" t="str">
        <f>B9&amp;".2"</f>
        <v>.2</v>
      </c>
      <c r="E10" s="691" t="s">
        <v>961</v>
      </c>
      <c r="F10" s="692" t="s">
        <v>323</v>
      </c>
      <c r="G10" s="1733" t="s">
        <v>28</v>
      </c>
      <c r="H10" s="402" t="s">
        <v>28</v>
      </c>
      <c r="I10" s="1733" t="s">
        <v>28</v>
      </c>
      <c r="J10" s="402" t="s">
        <v>28</v>
      </c>
      <c r="K10" s="290" t="s">
        <v>962</v>
      </c>
      <c r="V10" s="506">
        <v>0</v>
      </c>
    </row>
    <row customHeight="1" ht="15" hidden="1">
      <c r="A11" s="506"/>
      <c r="B11" s="2398"/>
      <c r="C11" s="2399"/>
      <c r="D11" s="690" t="str">
        <f>B9&amp;".3"</f>
        <v>.3</v>
      </c>
      <c r="E11" s="691" t="s">
        <v>963</v>
      </c>
      <c r="F11" s="692" t="s">
        <v>323</v>
      </c>
      <c r="G11" s="1733" t="s">
        <v>28</v>
      </c>
      <c r="H11" s="402" t="s">
        <v>28</v>
      </c>
      <c r="I11" s="1733" t="s">
        <v>28</v>
      </c>
      <c r="J11" s="402" t="s">
        <v>28</v>
      </c>
      <c r="K11" s="290" t="s">
        <v>964</v>
      </c>
      <c r="V11" s="506">
        <v>0</v>
      </c>
    </row>
    <row s="1367" customFormat="1" customHeight="1" ht="15" hidden="1">
      <c r="C12" s="673"/>
      <c r="U12" s="421"/>
      <c r="V12" s="418">
        <v>0</v>
      </c>
    </row>
    <row customHeight="1" ht="33.75" hidden="1">
      <c r="A13" s="506"/>
      <c r="B13" s="2398"/>
      <c r="C13" s="2399" t="s">
        <v>104</v>
      </c>
      <c r="D13" s="690" t="str">
        <f>B13&amp;".1"</f>
        <v>.1</v>
      </c>
      <c r="E13" s="691" t="s">
        <v>965</v>
      </c>
      <c r="F13" s="692" t="s">
        <v>323</v>
      </c>
      <c r="G13" s="698" t="s">
        <v>28</v>
      </c>
      <c r="H13" s="402" t="s">
        <v>28</v>
      </c>
      <c r="I13" s="698" t="s">
        <v>28</v>
      </c>
      <c r="J13" s="402" t="s">
        <v>28</v>
      </c>
      <c r="K13" s="290" t="s">
        <v>966</v>
      </c>
      <c r="V13" s="506">
        <v>0</v>
      </c>
    </row>
    <row customHeight="1" ht="15" hidden="1">
      <c r="B14" s="2398"/>
      <c r="C14" s="2399"/>
      <c r="D14" s="690" t="str">
        <f>B13&amp;".2"</f>
        <v>.2</v>
      </c>
      <c r="E14" s="691" t="s">
        <v>967</v>
      </c>
      <c r="F14" s="692" t="s">
        <v>323</v>
      </c>
      <c r="G14" s="1733" t="s">
        <v>28</v>
      </c>
      <c r="H14" s="402" t="s">
        <v>28</v>
      </c>
      <c r="I14" s="1733" t="s">
        <v>28</v>
      </c>
      <c r="J14" s="402" t="s">
        <v>28</v>
      </c>
      <c r="K14" s="290" t="s">
        <v>968</v>
      </c>
      <c r="V14" s="506">
        <v>0</v>
      </c>
    </row>
    <row s="1367" customFormat="1" customHeight="1" ht="15" hidden="1">
      <c r="C15" s="673"/>
      <c r="U15" s="421"/>
      <c r="V15" s="418">
        <v>0</v>
      </c>
    </row>
    <row s="1367" customFormat="1" customHeight="1" ht="15" hidden="1">
      <c r="C16" s="673"/>
      <c r="U16" s="421"/>
      <c r="V16" s="418">
        <v>0</v>
      </c>
    </row>
    <row s="1367" customFormat="1" customHeight="1" ht="15" hidden="1">
      <c r="C17" s="673"/>
      <c r="U17" s="421"/>
      <c r="V17" s="418">
        <v>0</v>
      </c>
    </row>
    <row s="1367" customFormat="1" customHeight="1" ht="15" hidden="1">
      <c r="C18" s="673"/>
      <c r="U18" s="421"/>
      <c r="V18" s="418">
        <v>0</v>
      </c>
    </row>
    <row s="1367" customFormat="1" customHeight="1" ht="15" hidden="1">
      <c r="C19" s="673"/>
      <c r="U19" s="421"/>
      <c r="V19" s="418">
        <v>0</v>
      </c>
    </row>
    <row s="1367" customFormat="1" customHeight="1" ht="15" hidden="1">
      <c r="C20" s="673"/>
      <c r="U20" s="421"/>
      <c r="V20" s="418">
        <v>0</v>
      </c>
    </row>
    <row customHeight="1" ht="15.75">
      <c r="C21" s="177"/>
      <c r="D21" s="510"/>
      <c r="E21" s="510"/>
      <c r="F21" s="510"/>
      <c r="G21" s="510"/>
      <c r="H21" s="510"/>
      <c r="I21" s="510"/>
      <c r="J21" s="510"/>
      <c r="V21" s="506">
        <v>15</v>
      </c>
    </row>
    <row customHeight="1" ht="23.25">
      <c r="C22" s="177"/>
      <c r="D22" s="2238" t="str">
        <f>KNE_NAME_FORM</f>
        <v>Форма 12. Информация об основных потребительских характеристиках товаров, услуг регулируемой организации, цены (тарифы) в сфере теплоснабжения на которые подлежат регулированию, об основных потребительских характеристиках товаров (услуг), поставляемых (оказываемых) единой теплоснабжающей организацией в ценовых зонах теплоснабжения, об основных потребительских характеристиках товаров (услуг), поставляемых (оказываемых) теплоснабжающей организацией в ценовых зонах теплоснабжения и теплосетевой организацией в ценовых зонах теплоснабжения</v>
      </c>
      <c r="E22" s="2238"/>
      <c r="F22" s="2238"/>
      <c r="G22" s="2238"/>
      <c r="H22" s="2238"/>
      <c r="I22" s="2238"/>
      <c r="J22" s="677"/>
      <c r="K22" s="538"/>
      <c r="V22" s="506">
        <v>22</v>
      </c>
    </row>
    <row customHeight="1" ht="15.75">
      <c r="C23" s="177"/>
      <c r="D23" s="2177" t="str">
        <f>IF(org=0,"Не определено",org)</f>
        <v>ПАО "КГК"</v>
      </c>
      <c r="E23" s="2177"/>
      <c r="F23" s="2177"/>
      <c r="G23" s="2177"/>
      <c r="H23" s="2177"/>
      <c r="I23" s="2177"/>
      <c r="J23" s="677"/>
      <c r="K23" s="538"/>
      <c r="V23" s="506">
        <v>15</v>
      </c>
    </row>
    <row customHeight="1" ht="15.75">
      <c r="C24" s="177"/>
      <c r="D24" s="510"/>
      <c r="E24" s="510"/>
      <c r="F24" s="510"/>
      <c r="G24" s="538">
        <v>22</v>
      </c>
      <c r="H24" s="753"/>
      <c r="I24" s="538">
        <v>22</v>
      </c>
      <c r="J24" s="753"/>
      <c r="V24" s="506">
        <v>15</v>
      </c>
    </row>
    <row s="1636" customFormat="1" customHeight="1" ht="1.05">
      <c r="A25" s="760"/>
      <c r="C25" s="177"/>
      <c r="D25" s="510"/>
      <c r="E25" s="510"/>
      <c r="F25" s="510"/>
      <c r="G25" s="538"/>
      <c r="H25" s="753"/>
      <c r="I25" s="538" t="s">
        <v>125</v>
      </c>
      <c r="J25" s="753"/>
      <c r="K25" s="418"/>
      <c r="U25" s="676"/>
      <c r="V25" s="759">
        <v>1</v>
      </c>
    </row>
    <row customHeight="1" ht="15.75">
      <c r="C26" s="177"/>
      <c r="D26" s="712"/>
      <c r="E26" s="2368" t="s">
        <v>114</v>
      </c>
      <c r="F26" s="2369"/>
      <c r="G26" s="2396" t="str">
        <f>IF(G25="","",INDEX(DIFFERENTIATION_UNMERGE_VD,MATCH(G25,DIFFERENTIATION_ID_DIFF,0)))</f>
        <v/>
      </c>
      <c r="H26" s="2397"/>
      <c r="I26" s="2396">
        <f>IF(I25="","",INDEX(DIFFERENTIATION_UNMERGE_VD,MATCH(I25,DIFFERENTIATION_ID_DIFF,0)))</f>
        <v>0</v>
      </c>
      <c r="J26" s="2397"/>
      <c r="K26" s="2176" t="s">
        <v>318</v>
      </c>
      <c r="V26" s="506">
        <v>15</v>
      </c>
    </row>
    <row s="1636" customFormat="1" customHeight="1" ht="15.75">
      <c r="A27" s="760"/>
      <c r="C27" s="177"/>
      <c r="D27" s="712"/>
      <c r="E27" s="2368" t="s">
        <v>583</v>
      </c>
      <c r="F27" s="2369"/>
      <c r="G27" s="2396" t="str">
        <f>IF(G25="","",INDEX(DIFFERENTIATION_UNMERGE_AREA,MATCH(G25,DIFFERENTIATION_ID_DIFF,0)))</f>
        <v/>
      </c>
      <c r="H27" s="2397"/>
      <c r="I27" s="2396" t="str">
        <f>IF(I25="","",INDEX(DIFFERENTIATION_UNMERGE_AREA,MATCH(I25,DIFFERENTIATION_ID_DIFF,0)))</f>
        <v/>
      </c>
      <c r="J27" s="2397"/>
      <c r="K27" s="2196"/>
      <c r="U27" s="676"/>
      <c r="V27" s="759">
        <v>15</v>
      </c>
    </row>
    <row s="1636" customFormat="1" customHeight="1" ht="15.75">
      <c r="A28" s="760"/>
      <c r="C28" s="177"/>
      <c r="D28" s="712"/>
      <c r="E28" s="2368" t="s">
        <v>584</v>
      </c>
      <c r="F28" s="2369"/>
      <c r="G28" s="2396" t="str">
        <f>IF(G25="","",INDEX(DIFFERENTIATION_UNMERGE_SYSTEM,MATCH(G25,DIFFERENTIATION_ID_DIFF,0)))</f>
        <v/>
      </c>
      <c r="H28" s="2397"/>
      <c r="I28" s="2396" t="str">
        <f>IF(I25="","",INDEX(DIFFERENTIATION_UNMERGE_SYSTEM,MATCH(I25,DIFFERENTIATION_ID_DIFF,0)))</f>
        <v>без дифференциации</v>
      </c>
      <c r="J28" s="2397"/>
      <c r="K28" s="2196"/>
      <c r="U28" s="676"/>
      <c r="V28" s="759">
        <v>15</v>
      </c>
    </row>
    <row s="1636" customFormat="1" customHeight="1" ht="15.75">
      <c r="A29" s="760"/>
      <c r="C29" s="177"/>
      <c r="D29" s="2370" t="s">
        <v>317</v>
      </c>
      <c r="E29" s="2371"/>
      <c r="F29" s="2371"/>
      <c r="G29" s="888"/>
      <c r="H29" s="888"/>
      <c r="I29" s="888"/>
      <c r="J29" s="889"/>
      <c r="K29" s="2196"/>
      <c r="U29" s="676"/>
      <c r="V29" s="759">
        <v>15</v>
      </c>
    </row>
    <row customHeight="1" ht="35.699999999999996">
      <c r="C30" s="177"/>
      <c r="D30" s="762" t="s">
        <v>89</v>
      </c>
      <c r="E30" s="761" t="s">
        <v>319</v>
      </c>
      <c r="F30" s="761" t="s">
        <v>585</v>
      </c>
      <c r="G30" s="809" t="s">
        <v>320</v>
      </c>
      <c r="H30" s="808" t="s">
        <v>407</v>
      </c>
      <c r="I30" s="685" t="s">
        <v>320</v>
      </c>
      <c r="J30" s="466" t="s">
        <v>407</v>
      </c>
      <c r="K30" s="2202"/>
      <c r="V30" s="506">
        <v>34</v>
      </c>
    </row>
    <row customHeight="1" ht="15" hidden="1">
      <c r="C31" s="177"/>
      <c r="D31" s="594"/>
      <c r="E31" s="594"/>
      <c r="F31" s="594"/>
      <c r="G31" s="660"/>
      <c r="H31" s="660"/>
      <c r="I31" s="660"/>
      <c r="J31" s="660"/>
      <c r="K31" s="290"/>
      <c r="V31" s="506">
        <v>0</v>
      </c>
    </row>
    <row customHeight="1" ht="24">
      <c r="A32" s="506"/>
      <c r="B32" s="506" t="s">
        <v>969</v>
      </c>
      <c r="C32" s="527"/>
      <c r="D32" s="693">
        <v>1</v>
      </c>
      <c r="E32" s="694" t="s">
        <v>970</v>
      </c>
      <c r="F32" s="692" t="s">
        <v>323</v>
      </c>
      <c r="G32" s="814" t="s">
        <v>323</v>
      </c>
      <c r="H32" s="814" t="s">
        <v>323</v>
      </c>
      <c r="I32" s="692" t="s">
        <v>323</v>
      </c>
      <c r="J32" s="692" t="s">
        <v>323</v>
      </c>
      <c r="K32" s="290"/>
      <c r="V32" s="506">
        <v>23</v>
      </c>
    </row>
    <row customHeight="1" ht="11.549999999999999">
      <c r="A33" s="506"/>
      <c r="C33" s="506"/>
      <c r="D33" s="348"/>
      <c r="E33" s="581" t="s">
        <v>605</v>
      </c>
      <c r="F33" s="573"/>
      <c r="G33" s="573"/>
      <c r="H33" s="573"/>
      <c r="I33" s="573"/>
      <c r="J33" s="573"/>
      <c r="K33" s="574"/>
      <c r="U33" s="506"/>
      <c r="V33" s="506">
        <v>11</v>
      </c>
    </row>
    <row customHeight="1" ht="24">
      <c r="A34" s="506"/>
      <c r="B34" s="582" t="s">
        <v>655</v>
      </c>
      <c r="C34" s="527"/>
      <c r="D34" s="693">
        <v>2</v>
      </c>
      <c r="E34" s="694" t="s">
        <v>971</v>
      </c>
      <c r="F34" s="821" t="s">
        <v>323</v>
      </c>
      <c r="G34" s="821" t="s">
        <v>323</v>
      </c>
      <c r="H34" s="821" t="s">
        <v>323</v>
      </c>
      <c r="I34" s="692"/>
      <c r="J34" s="692"/>
      <c r="K34" s="290"/>
      <c r="V34" s="506">
        <v>23</v>
      </c>
    </row>
    <row customHeight="1" ht="11.549999999999999">
      <c r="A35" s="506"/>
      <c r="C35" s="506"/>
      <c r="D35" s="348"/>
      <c r="E35" s="581" t="s">
        <v>972</v>
      </c>
      <c r="F35" s="573"/>
      <c r="G35" s="695"/>
      <c r="H35" s="573"/>
      <c r="I35" s="695"/>
      <c r="J35" s="573"/>
      <c r="K35" s="574"/>
      <c r="U35" s="506"/>
      <c r="V35" s="506">
        <v>11</v>
      </c>
    </row>
    <row customHeight="1" ht="71.25">
      <c r="A36" s="506"/>
      <c r="B36" s="506" t="s">
        <v>973</v>
      </c>
      <c r="C36" s="527"/>
      <c r="D36" s="693">
        <v>3</v>
      </c>
      <c r="E36" s="694" t="s">
        <v>974</v>
      </c>
      <c r="F36" s="696" t="s">
        <v>323</v>
      </c>
      <c r="G36" s="815" t="s">
        <v>975</v>
      </c>
      <c r="H36" s="814" t="s">
        <v>323</v>
      </c>
      <c r="I36" s="525" t="s">
        <v>975</v>
      </c>
      <c r="J36" s="692" t="s">
        <v>323</v>
      </c>
      <c r="K36" s="290" t="s">
        <v>976</v>
      </c>
      <c r="V36" s="506">
        <v>68</v>
      </c>
    </row>
    <row customHeight="1" ht="11.549999999999999">
      <c r="A37" s="506"/>
      <c r="C37" s="506"/>
      <c r="D37" s="348"/>
      <c r="E37" s="581" t="s">
        <v>977</v>
      </c>
      <c r="F37" s="573"/>
      <c r="G37" s="695"/>
      <c r="H37" s="695"/>
      <c r="I37" s="695"/>
      <c r="J37" s="695"/>
      <c r="K37" s="574"/>
      <c r="U37" s="506"/>
      <c r="V37" s="506">
        <v>11</v>
      </c>
    </row>
    <row customHeight="1" ht="71.25">
      <c r="A38" s="506"/>
      <c r="B38" s="506" t="s">
        <v>978</v>
      </c>
      <c r="C38" s="527"/>
      <c r="D38" s="693">
        <v>4</v>
      </c>
      <c r="E38" s="694" t="s">
        <v>979</v>
      </c>
      <c r="F38" s="696" t="s">
        <v>323</v>
      </c>
      <c r="G38" s="815" t="s">
        <v>975</v>
      </c>
      <c r="H38" s="816" t="s">
        <v>323</v>
      </c>
      <c r="I38" s="525" t="s">
        <v>975</v>
      </c>
      <c r="J38" s="522" t="s">
        <v>323</v>
      </c>
      <c r="K38" s="680" t="s">
        <v>980</v>
      </c>
      <c r="V38" s="506">
        <v>68</v>
      </c>
    </row>
    <row customHeight="1" ht="11.549999999999999">
      <c r="A39" s="506"/>
      <c r="C39" s="506"/>
      <c r="D39" s="348"/>
      <c r="E39" s="581" t="s">
        <v>981</v>
      </c>
      <c r="F39" s="573"/>
      <c r="G39" s="573"/>
      <c r="H39" s="697"/>
      <c r="I39" s="573"/>
      <c r="J39" s="697"/>
      <c r="K39" s="574"/>
      <c r="U39" s="506"/>
      <c r="V39" s="506">
        <v>11</v>
      </c>
    </row>
    <row customHeight="1" ht="22.5" hidden="1">
      <c r="A40" s="450" t="s">
        <v>83</v>
      </c>
      <c r="B40" s="506">
        <v>0</v>
      </c>
      <c r="C40" s="684">
        <v>4</v>
      </c>
      <c r="D40" s="506">
        <v>6</v>
      </c>
      <c r="E40" s="506">
        <v>36</v>
      </c>
      <c r="F40" s="506">
        <v>9</v>
      </c>
      <c r="G40" s="759">
        <v>0</v>
      </c>
      <c r="H40" s="759">
        <v>0</v>
      </c>
      <c r="I40" s="506">
        <v>25</v>
      </c>
      <c r="J40" s="506">
        <v>33</v>
      </c>
      <c r="K40" s="418">
        <v>93</v>
      </c>
      <c r="L40" s="506">
        <v>10</v>
      </c>
      <c r="M40" s="506">
        <v>10</v>
      </c>
      <c r="N40" s="506">
        <v>10</v>
      </c>
      <c r="O40" s="506">
        <v>10</v>
      </c>
      <c r="P40" s="506">
        <v>10</v>
      </c>
      <c r="Q40" s="506">
        <v>10</v>
      </c>
      <c r="R40" s="506">
        <v>10</v>
      </c>
      <c r="S40" s="506">
        <v>10</v>
      </c>
      <c r="T40" s="506">
        <v>10</v>
      </c>
      <c r="U40" s="676">
        <v>10</v>
      </c>
      <c r="V40" s="506">
        <v>23</v>
      </c>
    </row>
  </sheetData>
  <sheetProtection formatColumns="0" formatRows="0" autoFilter="0" sort="0" insertRows="0" insertColumns="1" deleteRows="0" deleteColumns="0"/>
  <mergeCells count="21">
    <mergeCell ref="B3:B4"/>
    <mergeCell ref="C3:C4"/>
    <mergeCell ref="B6:B7"/>
    <mergeCell ref="C6:C7"/>
    <mergeCell ref="B9:B11"/>
    <mergeCell ref="C9:C11"/>
    <mergeCell ref="B13:B14"/>
    <mergeCell ref="C13:C14"/>
    <mergeCell ref="D22:I22"/>
    <mergeCell ref="D23:I23"/>
    <mergeCell ref="I26:J26"/>
    <mergeCell ref="E26:F26"/>
    <mergeCell ref="G28:H28"/>
    <mergeCell ref="K26:K30"/>
    <mergeCell ref="E27:F27"/>
    <mergeCell ref="E28:F28"/>
    <mergeCell ref="I27:J27"/>
    <mergeCell ref="I28:J28"/>
    <mergeCell ref="G26:H26"/>
    <mergeCell ref="G27:H27"/>
    <mergeCell ref="D29:F29"/>
  </mergeCells>
  <dataValidations count="5">
    <dataValidation allowBlank="1" showInputMessage="1" showErrorMessage="1" prompt="Количество поданных заявок на подключение (технологическое присоединение) к системе теплоснабжения в течение квартала, шт." sqref="E30"/>
    <dataValidation type="textLength" operator="lessThanOrEqual" allowBlank="1" showInputMessage="1" showErrorMessage="1" errorTitle="Ошибка" error="Допускается ввод не более 900 символов!" sqref="I3 I6 I9 I13 G6 G13 G9 G3">
      <formula1>900</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I14 I4 I10:I11 G7 G14 I7 G10:G11 G4"/>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H3:H4 J3:J4 H6:H7 J6:J7 J9:J11 H9:H11 J13:J14 H13:H14">
      <formula1>900</formula1>
    </dataValidation>
    <dataValidation allowBlank="1" showInputMessage="1" showErrorMessage="1" prompt="Для выбора выполните двойной щелчок левой клавиши мыши по ячейке." sqref="I36 G38 I38 G36"/>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81B308CE-5218-8F46-0D48-7235E9680D52}" mc:Ignorable="x14ac xr xr2 xr3">
  <sheetPr>
    <tabColor theme="9" tint="-0.25"/>
  </sheetPr>
  <dimension ref="A1:AE16"/>
  <sheetViews>
    <sheetView showGridLines="0" zoomScale="85" workbookViewId="0">
      <pane xSplit="7" ySplit="10" topLeftCell="H11" activePane="bottomRight" state="frozen"/>
      <selection pane="bottomLeft" activeCell="A11" sqref="A11"/>
      <selection pane="topRight" activeCell="H1" sqref="H1"/>
      <selection pane="bottomRight" activeCell="A1" sqref="A1"/>
    </sheetView>
  </sheetViews>
  <sheetFormatPr defaultColWidth="9.140625" customHeight="1" defaultRowHeight="10.5"/>
  <cols>
    <col min="1" max="3" style="1167" width="6.7109375" hidden="1" customWidth="1"/>
    <col min="4" max="4" style="1367" width="6.7109375" hidden="1" customWidth="1"/>
    <col min="5" max="5" style="1636" width="3.00390625" customWidth="1"/>
    <col min="6" max="6" style="1636" width="6.00390625" customWidth="1"/>
    <col min="7" max="7" style="1636" width="37.00390625" customWidth="1"/>
    <col min="8" max="8" style="1636" width="16.00390625" customWidth="1"/>
    <col min="9" max="10" style="1636" width="19.00390625" customWidth="1"/>
    <col min="11" max="11" style="1636" width="24.00390625" customWidth="1"/>
    <col min="12" max="13" style="1636" width="25.00390625" customWidth="1"/>
    <col min="14" max="16" style="1636" width="17.00390625" customWidth="1"/>
    <col min="17" max="24" style="1636" width="19.00390625" customWidth="1"/>
    <col min="25" max="25" style="1636" width="7.00390625" customWidth="1"/>
    <col min="26" max="26" style="1636" width="3.00390625" customWidth="1"/>
    <col min="27" max="27" style="1636" width="6.00390625" customWidth="1"/>
    <col min="28" max="28" style="1636" width="34.00390625" customWidth="1"/>
    <col min="29" max="30" style="1636" width="8.00390625" customWidth="1"/>
    <col min="31" max="31" style="1636" width="9.140625" hidden="1"/>
  </cols>
  <sheetData>
    <row s="1367" customFormat="1" customHeight="1" ht="10.5" hidden="1">
      <c r="A1" s="896"/>
      <c r="B1" s="896"/>
      <c r="C1" s="896"/>
      <c r="E1" s="538"/>
      <c r="H1" s="1161"/>
      <c r="AE1" s="418" t="s">
        <v>14</v>
      </c>
    </row>
    <row customHeight="1" ht="10.5" hidden="1">
      <c r="AE2" s="759">
        <v>0</v>
      </c>
    </row>
    <row s="1633" customFormat="1" customHeight="1" ht="10.5" hidden="1">
      <c r="A3" s="896"/>
      <c r="B3" s="896"/>
      <c r="C3" s="896"/>
      <c r="D3" s="418"/>
      <c r="E3" s="363"/>
      <c r="G3" s="1633" t="s">
        <v>982</v>
      </c>
      <c r="H3" s="1157"/>
      <c r="AE3" s="760">
        <v>0</v>
      </c>
    </row>
    <row customHeight="1" ht="3">
      <c r="AE4" s="759">
        <v>3</v>
      </c>
    </row>
    <row customHeight="1" ht="27.299999999999997">
      <c r="F5" s="2249" t="str">
        <f>IP_NAME_FORM</f>
        <v>Форма 13. Информация об инвестиционных программах регулируемой организации и отчетах об их исполнении, об инвестиционных программах единой теплоснабжающей организации в ценовых зонах теплоснабжения, разрабатываемых и утверждаемых в отношении видов деятельности, при осуществлении которых расчеты за товары (услуги) в сфере теплоснабжения осуществляются по регулируемым ценам (тарифам) в сфере теплоснабжения (за исключением деятельности по подключению (технологическому присоединению) к системе теплоснабжения), об инвестиционных программах теплоснабжающей организации в ценовых зонах теплоснабжения и теплосетевой организации в ценовых зонах теплоснабжения, разрабатываемых и утверждаемых в отношении видов деятельности, при осуществлении которых расчеты за товары (услуги) в сфере теплоснабжения осуществляются по регулируемым ценам (тарифам) в сфере теплоснабжения (за исключением деятельности по подключению (технологическому присоединению) к системе теплоснабжения)</v>
      </c>
      <c r="G5" s="2249"/>
      <c r="H5" s="2249"/>
      <c r="I5" s="2249"/>
      <c r="J5" s="2249"/>
      <c r="K5" s="2249"/>
      <c r="M5" s="583"/>
      <c r="AB5" s="907"/>
      <c r="AE5" s="759">
        <v>26</v>
      </c>
    </row>
    <row s="1636" customFormat="1" customHeight="1" ht="16.8">
      <c r="A6" s="1167"/>
      <c r="B6" s="1167"/>
      <c r="C6" s="1167"/>
      <c r="D6" s="1161"/>
      <c r="E6" s="1636"/>
      <c r="F6" s="2250" t="str">
        <f>IF(org=0,"Не определено",org)</f>
        <v>ПАО "КГК"</v>
      </c>
      <c r="G6" s="2250"/>
      <c r="H6" s="2250"/>
      <c r="I6" s="2250"/>
      <c r="J6" s="2250"/>
      <c r="K6" s="2250"/>
      <c r="M6" s="583"/>
      <c r="AB6" s="1149"/>
      <c r="AE6" s="1632">
        <v>16</v>
      </c>
    </row>
    <row customHeight="1" ht="10.5">
      <c r="AE7" s="759">
        <v>10</v>
      </c>
    </row>
    <row customHeight="1" ht="10.5">
      <c r="A8" s="1052"/>
      <c r="B8" s="1052"/>
      <c r="C8" s="1052"/>
      <c r="F8" s="2102" t="s">
        <v>317</v>
      </c>
      <c r="G8" s="2103"/>
      <c r="H8" s="2103"/>
      <c r="I8" s="2103"/>
      <c r="J8" s="2103"/>
      <c r="K8" s="2103"/>
      <c r="L8" s="2103"/>
      <c r="M8" s="2103"/>
      <c r="N8" s="2103"/>
      <c r="O8" s="2103"/>
      <c r="P8" s="2103"/>
      <c r="Q8" s="2103"/>
      <c r="R8" s="2103"/>
      <c r="S8" s="2103"/>
      <c r="T8" s="2103"/>
      <c r="U8" s="2103"/>
      <c r="V8" s="2103"/>
      <c r="W8" s="2103"/>
      <c r="X8" s="2103"/>
      <c r="Y8" s="2103"/>
      <c r="Z8" s="2103"/>
      <c r="AA8" s="2103"/>
      <c r="AB8" s="2104"/>
      <c r="AE8" s="759">
        <v>10</v>
      </c>
    </row>
    <row customHeight="1" ht="43.050000000000004">
      <c r="A9" s="906"/>
      <c r="B9" s="906"/>
      <c r="C9" s="906"/>
      <c r="F9" s="2128" t="s">
        <v>89</v>
      </c>
      <c r="G9" s="2128" t="s">
        <v>982</v>
      </c>
      <c r="H9" s="2176" t="s">
        <v>983</v>
      </c>
      <c r="I9" s="2128" t="s">
        <v>984</v>
      </c>
      <c r="J9" s="2128" t="s">
        <v>985</v>
      </c>
      <c r="K9" s="2128" t="s">
        <v>986</v>
      </c>
      <c r="L9" s="2128" t="s">
        <v>987</v>
      </c>
      <c r="M9" s="2128" t="s">
        <v>988</v>
      </c>
      <c r="N9" s="2210" t="s">
        <v>989</v>
      </c>
      <c r="O9" s="2210"/>
      <c r="P9" s="2210"/>
      <c r="Q9" s="2400" t="s">
        <v>990</v>
      </c>
      <c r="R9" s="2401"/>
      <c r="S9" s="2401"/>
      <c r="T9" s="2402"/>
      <c r="U9" s="2400" t="s">
        <v>991</v>
      </c>
      <c r="V9" s="2401"/>
      <c r="W9" s="2401"/>
      <c r="X9" s="2402"/>
      <c r="Y9" s="2102" t="s">
        <v>992</v>
      </c>
      <c r="Z9" s="2103"/>
      <c r="AA9" s="2103"/>
      <c r="AB9" s="2104"/>
      <c r="AE9" s="759">
        <v>41</v>
      </c>
    </row>
    <row customHeight="1" ht="43.050000000000004">
      <c r="A10" s="906"/>
      <c r="B10" s="906"/>
      <c r="C10" s="906"/>
      <c r="F10" s="2176"/>
      <c r="G10" s="2176"/>
      <c r="H10" s="2233"/>
      <c r="I10" s="2176"/>
      <c r="J10" s="2176"/>
      <c r="K10" s="2176"/>
      <c r="L10" s="2176"/>
      <c r="M10" s="2176"/>
      <c r="N10" s="904" t="s">
        <v>993</v>
      </c>
      <c r="O10" s="904" t="s">
        <v>994</v>
      </c>
      <c r="P10" s="905" t="s">
        <v>995</v>
      </c>
      <c r="Q10" s="916" t="s">
        <v>90</v>
      </c>
      <c r="R10" s="916" t="s">
        <v>996</v>
      </c>
      <c r="S10" s="916" t="s">
        <v>997</v>
      </c>
      <c r="T10" s="917" t="s">
        <v>998</v>
      </c>
      <c r="U10" s="916" t="s">
        <v>90</v>
      </c>
      <c r="V10" s="916" t="s">
        <v>999</v>
      </c>
      <c r="W10" s="916" t="s">
        <v>997</v>
      </c>
      <c r="X10" s="917" t="s">
        <v>998</v>
      </c>
      <c r="Y10" s="302" t="s">
        <v>1000</v>
      </c>
      <c r="Z10" s="2102" t="s">
        <v>89</v>
      </c>
      <c r="AA10" s="2104"/>
      <c r="AB10" s="1050" t="s">
        <v>1001</v>
      </c>
      <c r="AE10" s="759">
        <v>41</v>
      </c>
    </row>
    <row s="1643" customFormat="1" customHeight="1" ht="5.25" hidden="1">
      <c r="A11" s="1053"/>
      <c r="B11" s="1053"/>
      <c r="C11" s="1053"/>
      <c r="E11" s="1051"/>
      <c r="F11" s="2407" t="s">
        <v>393</v>
      </c>
      <c r="G11" s="2404"/>
      <c r="H11" s="2403"/>
      <c r="I11" s="2403"/>
      <c r="J11" s="2403"/>
      <c r="K11" s="2405"/>
      <c r="L11" s="2405"/>
      <c r="M11" s="2405"/>
      <c r="N11" s="2403"/>
      <c r="O11" s="2403"/>
      <c r="P11" s="2128"/>
      <c r="Q11" s="2180"/>
      <c r="R11" s="2180"/>
      <c r="S11" s="2180"/>
      <c r="T11" s="2403"/>
      <c r="U11" s="2180"/>
      <c r="V11" s="2180"/>
      <c r="W11" s="2180"/>
      <c r="X11" s="2403"/>
      <c r="Y11" s="2109"/>
      <c r="Z11" s="2109"/>
      <c r="AA11" s="2109"/>
      <c r="AB11" s="2109"/>
      <c r="AD11" s="512" t="s">
        <v>1002</v>
      </c>
      <c r="AE11" s="512">
        <v>0</v>
      </c>
    </row>
    <row s="1643" customFormat="1" customHeight="1" ht="5.25" hidden="1">
      <c r="A12" s="897"/>
      <c r="B12" s="897"/>
      <c r="C12" s="897"/>
      <c r="E12" s="519"/>
      <c r="F12" s="2407"/>
      <c r="G12" s="2404"/>
      <c r="H12" s="2403"/>
      <c r="I12" s="2403"/>
      <c r="J12" s="2403"/>
      <c r="K12" s="2405"/>
      <c r="L12" s="2405"/>
      <c r="M12" s="2405"/>
      <c r="N12" s="2403"/>
      <c r="O12" s="2403"/>
      <c r="P12" s="2128"/>
      <c r="Q12" s="2180"/>
      <c r="R12" s="2180"/>
      <c r="S12" s="2180"/>
      <c r="T12" s="2403"/>
      <c r="U12" s="2180"/>
      <c r="V12" s="2180"/>
      <c r="W12" s="2180"/>
      <c r="X12" s="2403"/>
      <c r="Y12" s="2406"/>
      <c r="Z12" s="2406"/>
      <c r="AA12" s="2406"/>
      <c r="AB12" s="2406"/>
      <c r="AE12" s="512">
        <v>0</v>
      </c>
    </row>
    <row customHeight="1" ht="10.5">
      <c r="F13" s="903"/>
      <c r="G13" s="651" t="s">
        <v>1003</v>
      </c>
      <c r="H13" s="1169"/>
      <c r="I13" s="573"/>
      <c r="J13" s="573"/>
      <c r="K13" s="573"/>
      <c r="L13" s="573"/>
      <c r="M13" s="573"/>
      <c r="N13" s="573"/>
      <c r="O13" s="573"/>
      <c r="P13" s="573"/>
      <c r="Q13" s="573"/>
      <c r="R13" s="573"/>
      <c r="S13" s="573"/>
      <c r="T13" s="573"/>
      <c r="U13" s="573"/>
      <c r="V13" s="573"/>
      <c r="W13" s="573"/>
      <c r="X13" s="573"/>
      <c r="Y13" s="573"/>
      <c r="Z13" s="697"/>
      <c r="AA13" s="697"/>
      <c r="AB13" s="918"/>
      <c r="AE13" s="759">
        <v>10</v>
      </c>
    </row>
    <row customHeight="1" ht="10.5">
      <c r="AE14" s="759">
        <v>10</v>
      </c>
    </row>
    <row s="1643" customFormat="1" customHeight="1" ht="10.5">
      <c r="A15" s="1168"/>
      <c r="B15" s="1168"/>
      <c r="C15" s="1168"/>
      <c r="E15" s="519"/>
      <c r="H15" s="512">
        <f>_xlfn.IFERROR(MATCH("нет",IP_MAIN_DIFFERENTIATION_EVENTS_FLAG,0),0)</f>
        <v>0</v>
      </c>
      <c r="AE15" s="512">
        <v>10</v>
      </c>
    </row>
    <row customHeight="1" ht="10.5" hidden="1">
      <c r="A16" s="896" t="s">
        <v>83</v>
      </c>
      <c r="B16" s="896">
        <v>0</v>
      </c>
      <c r="C16" s="896">
        <v>0</v>
      </c>
      <c r="D16" s="418">
        <v>0</v>
      </c>
      <c r="E16" s="510">
        <v>3</v>
      </c>
      <c r="F16" s="759">
        <v>6</v>
      </c>
      <c r="G16" s="759">
        <v>37</v>
      </c>
      <c r="H16" s="1156">
        <v>16</v>
      </c>
      <c r="I16" s="759">
        <v>19</v>
      </c>
      <c r="J16" s="759">
        <v>19</v>
      </c>
      <c r="K16" s="759">
        <v>24</v>
      </c>
      <c r="L16" s="759">
        <v>25</v>
      </c>
      <c r="M16" s="759">
        <v>25</v>
      </c>
      <c r="N16" s="759">
        <v>17</v>
      </c>
      <c r="O16" s="759">
        <v>17</v>
      </c>
      <c r="P16" s="759">
        <v>17</v>
      </c>
      <c r="Q16" s="759">
        <v>19</v>
      </c>
      <c r="R16" s="759">
        <v>19</v>
      </c>
      <c r="S16" s="759">
        <v>19</v>
      </c>
      <c r="T16" s="759">
        <v>19</v>
      </c>
      <c r="U16" s="759">
        <v>19</v>
      </c>
      <c r="V16" s="759">
        <v>19</v>
      </c>
      <c r="W16" s="759">
        <v>19</v>
      </c>
      <c r="X16" s="759">
        <v>19</v>
      </c>
      <c r="Y16" s="759">
        <v>7</v>
      </c>
      <c r="Z16" s="759">
        <v>3</v>
      </c>
      <c r="AA16" s="759">
        <v>6</v>
      </c>
      <c r="AB16" s="759">
        <v>34</v>
      </c>
      <c r="AC16" s="759">
        <v>8</v>
      </c>
      <c r="AD16" s="759">
        <v>8</v>
      </c>
      <c r="AE16" s="759">
        <v>10</v>
      </c>
    </row>
  </sheetData>
  <sheetProtection formatColumns="0" formatRows="0" autoFilter="0" sort="0" insertRows="0" insertColumns="1" deleteRows="0" deleteColumns="0"/>
  <mergeCells count="39">
    <mergeCell ref="F5:K5"/>
    <mergeCell ref="N11:N12"/>
    <mergeCell ref="O11:O12"/>
    <mergeCell ref="P11:P12"/>
    <mergeCell ref="Y11:Y12"/>
    <mergeCell ref="N9:P9"/>
    <mergeCell ref="M9:M10"/>
    <mergeCell ref="F9:F10"/>
    <mergeCell ref="G9:G10"/>
    <mergeCell ref="I9:I10"/>
    <mergeCell ref="K9:K10"/>
    <mergeCell ref="L9:L10"/>
    <mergeCell ref="F11:F12"/>
    <mergeCell ref="M11:M12"/>
    <mergeCell ref="L11:L12"/>
    <mergeCell ref="J11:J12"/>
    <mergeCell ref="J9:J10"/>
    <mergeCell ref="K11:K12"/>
    <mergeCell ref="Z11:Z12"/>
    <mergeCell ref="Y9:AB9"/>
    <mergeCell ref="AB11:AB12"/>
    <mergeCell ref="Z10:AA10"/>
    <mergeCell ref="AA11:AA12"/>
    <mergeCell ref="F6:K6"/>
    <mergeCell ref="F8:AB8"/>
    <mergeCell ref="U9:X9"/>
    <mergeCell ref="U11:U12"/>
    <mergeCell ref="V11:V12"/>
    <mergeCell ref="W11:W12"/>
    <mergeCell ref="X11:X12"/>
    <mergeCell ref="Q9:T9"/>
    <mergeCell ref="I11:I12"/>
    <mergeCell ref="G11:G12"/>
    <mergeCell ref="T11:T12"/>
    <mergeCell ref="S11:S12"/>
    <mergeCell ref="H9:H10"/>
    <mergeCell ref="H11:H12"/>
    <mergeCell ref="Q11:Q12"/>
    <mergeCell ref="R11:R12"/>
  </mergeCell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C1A7FF18-C515-07FF-F608-2F692948F0C8}" mc:Ignorable="x14ac xr xr2 xr3">
  <sheetPr>
    <tabColor theme="9" tint="-0.25"/>
  </sheetPr>
  <dimension ref="A1:BG20"/>
  <sheetViews>
    <sheetView showGridLines="0" zoomScale="90" workbookViewId="0">
      <pane xSplit="8" ySplit="12" topLeftCell="I13" activePane="bottomRight" state="frozen"/>
      <selection pane="bottomLeft" activeCell="A13" sqref="A13"/>
      <selection pane="topRight" activeCell="I1" sqref="I1"/>
      <selection pane="bottomRight" activeCell="A1" sqref="A1"/>
    </sheetView>
  </sheetViews>
  <sheetFormatPr defaultColWidth="9.140625" customHeight="1" defaultRowHeight="10.5"/>
  <cols>
    <col min="1" max="3" style="1167" width="4.140625" hidden="1" customWidth="1"/>
    <col min="4" max="4" style="1367" width="4.140625" hidden="1" customWidth="1"/>
    <col min="5" max="5" style="1636" width="3.00390625" customWidth="1"/>
    <col min="6" max="6" style="1636" width="14.00390625" customWidth="1"/>
    <col min="7" max="7" style="1636" width="3.00390625" customWidth="1"/>
    <col min="8" max="8" style="1636" width="7.00390625" customWidth="1"/>
    <col min="9" max="10" style="1636" width="16.00390625" customWidth="1"/>
    <col min="11" max="11" style="1636" width="25.00390625" customWidth="1"/>
    <col min="12" max="12" style="1636" width="7.00390625" customWidth="1"/>
    <col min="13" max="13" style="1636" width="15.00390625" customWidth="1"/>
    <col min="14" max="14" style="1636" width="3.00390625" customWidth="1"/>
    <col min="15" max="15" style="1636" width="4.00390625" customWidth="1"/>
    <col min="16" max="16" style="1636" width="8.00390625" customWidth="1"/>
    <col min="17" max="17" style="1636" width="21.00390625" customWidth="1"/>
    <col min="18" max="18" style="1636" width="14.00390625" customWidth="1"/>
    <col min="19" max="20" style="1636" width="17.00390625" customWidth="1"/>
    <col min="21" max="21" style="1636" width="9.00390625" customWidth="1"/>
    <col min="22" max="22" style="1636" width="12.00390625" customWidth="1"/>
    <col min="23" max="23" style="1636" width="9.00390625" customWidth="1"/>
    <col min="24" max="24" style="1636" width="21.00390625" customWidth="1"/>
    <col min="25" max="25" style="1636" width="12.00390625" customWidth="1"/>
    <col min="26" max="26" style="1636" width="3.00390625" customWidth="1"/>
    <col min="27" max="27" style="1636" width="6.00390625" customWidth="1"/>
    <col min="28" max="28" style="1636" width="38.00390625" customWidth="1"/>
    <col min="29" max="29" style="1636" width="15.00390625" customWidth="1"/>
    <col min="30" max="30" style="1636" width="37.57421875" hidden="1" customWidth="1"/>
    <col min="31" max="31" style="1636" width="15.7109375" hidden="1" customWidth="1"/>
    <col min="32" max="34" style="1636" width="16.00390625" customWidth="1"/>
    <col min="35" max="37" style="1636" width="16.7109375" hidden="1" customWidth="1"/>
    <col min="38" max="58" style="1636" width="8.00390625" customWidth="1"/>
    <col min="59" max="59" style="1636" width="9.140625" hidden="1"/>
  </cols>
  <sheetData>
    <row s="1367" customFormat="1" customHeight="1" ht="10.5" hidden="1">
      <c r="A1" s="896"/>
      <c r="B1" s="896"/>
      <c r="C1" s="896"/>
      <c r="E1" s="538"/>
      <c r="H1" s="1161"/>
      <c r="L1" s="1129"/>
      <c r="M1" s="1129"/>
      <c r="AD1" s="1129"/>
      <c r="AH1" s="1148"/>
      <c r="AI1" s="1141"/>
      <c r="BG1" s="418" t="s">
        <v>14</v>
      </c>
    </row>
    <row customHeight="1" ht="10.5" hidden="1">
      <c r="BG2" s="759">
        <v>0</v>
      </c>
    </row>
    <row s="1633" customFormat="1" customHeight="1" ht="10.5" hidden="1">
      <c r="A3" s="896"/>
      <c r="B3" s="896"/>
      <c r="C3" s="896"/>
      <c r="D3" s="418"/>
      <c r="E3" s="363"/>
      <c r="H3" s="1157"/>
      <c r="L3" s="1127"/>
      <c r="M3" s="1127"/>
      <c r="AD3" s="1127"/>
      <c r="AH3" s="1146"/>
      <c r="AI3" s="1139"/>
      <c r="BG3" s="760">
        <v>0</v>
      </c>
    </row>
    <row customHeight="1" ht="3">
      <c r="BG4" s="759">
        <v>3</v>
      </c>
    </row>
    <row customHeight="1" ht="27.299999999999997">
      <c r="F5" s="2249" t="str">
        <f>IP_NAME_FORM</f>
        <v>Форма 13. Информация об инвестиционных программах регулируемой организации и отчетах об их исполнении, об инвестиционных программах единой теплоснабжающей организации в ценовых зонах теплоснабжения, разрабатываемых и утверждаемых в отношении видов деятельности, при осуществлении которых расчеты за товары (услуги) в сфере теплоснабжения осуществляются по регулируемым ценам (тарифам) в сфере теплоснабжения (за исключением деятельности по подключению (технологическому присоединению) к системе теплоснабжения), об инвестиционных программах теплоснабжающей организации в ценовых зонах теплоснабжения и теплосетевой организации в ценовых зонах теплоснабжения, разрабатываемых и утверждаемых в отношении видов деятельности, при осуществлении которых расчеты за товары (услуги) в сфере теплоснабжения осуществляются по регулируемым ценам (тарифам) в сфере теплоснабжения (за исключением деятельности по подключению (технологическому присоединению) к системе теплоснабжения)</v>
      </c>
      <c r="G5" s="2249"/>
      <c r="H5" s="2249"/>
      <c r="I5" s="2249"/>
      <c r="J5" s="2249"/>
      <c r="K5" s="2249"/>
      <c r="L5" s="1136"/>
      <c r="M5" s="1136"/>
      <c r="AG5" s="907"/>
      <c r="AH5" s="1149"/>
      <c r="BG5" s="759">
        <v>26</v>
      </c>
    </row>
    <row customHeight="1" ht="10.5">
      <c r="F6" s="2177" t="str">
        <f>IF(org=0,"Не определено",org)</f>
        <v>ПАО "КГК"</v>
      </c>
      <c r="G6" s="2177"/>
      <c r="H6" s="2177"/>
      <c r="I6" s="2177"/>
      <c r="J6" s="2177"/>
      <c r="K6" s="2177"/>
      <c r="L6" s="1137"/>
      <c r="M6" s="1137"/>
      <c r="BG6" s="759">
        <v>10</v>
      </c>
    </row>
    <row customHeight="1" ht="11.549999999999999">
      <c r="E7" s="909"/>
      <c r="F7" s="920"/>
      <c r="G7" s="920"/>
      <c r="H7" s="1185"/>
      <c r="I7" s="920"/>
      <c r="J7" s="920"/>
      <c r="K7" s="922"/>
      <c r="L7" s="1134"/>
      <c r="M7" s="1134"/>
      <c r="N7" s="920"/>
      <c r="O7" s="920"/>
      <c r="P7" s="920"/>
      <c r="Q7" s="922"/>
      <c r="R7" s="920"/>
      <c r="S7" s="920"/>
      <c r="T7" s="920"/>
      <c r="U7" s="920"/>
      <c r="V7" s="920"/>
      <c r="W7" s="920"/>
      <c r="X7" s="920"/>
      <c r="Y7" s="920"/>
      <c r="Z7" s="920"/>
      <c r="AA7" s="920"/>
      <c r="AB7" s="920"/>
      <c r="AC7" s="921"/>
      <c r="AD7" s="1133"/>
      <c r="AE7" s="921"/>
      <c r="AF7" s="920"/>
      <c r="AG7" s="920"/>
      <c r="AH7" s="1151"/>
      <c r="AI7" s="1144"/>
      <c r="AJ7" s="920"/>
      <c r="AK7" s="920"/>
      <c r="AL7" s="911"/>
      <c r="AM7" s="911"/>
      <c r="AN7" s="911"/>
      <c r="AO7" s="908"/>
      <c r="AP7" s="908"/>
      <c r="AQ7" s="908"/>
      <c r="AR7" s="908"/>
      <c r="AS7" s="908"/>
      <c r="AT7" s="908"/>
      <c r="AU7" s="908"/>
      <c r="AV7" s="908"/>
      <c r="AW7" s="908"/>
      <c r="AX7" s="908"/>
      <c r="AY7" s="908"/>
      <c r="AZ7" s="908"/>
      <c r="BA7" s="908"/>
      <c r="BB7" s="908"/>
      <c r="BC7" s="908"/>
      <c r="BD7" s="908"/>
      <c r="BE7" s="908"/>
      <c r="BF7" s="908"/>
      <c r="BG7" s="759">
        <v>11</v>
      </c>
    </row>
    <row customHeight="1" ht="10.5">
      <c r="E8" s="909"/>
      <c r="F8" s="2416" t="s">
        <v>317</v>
      </c>
      <c r="G8" s="2417"/>
      <c r="H8" s="2417"/>
      <c r="I8" s="2417"/>
      <c r="J8" s="2417"/>
      <c r="K8" s="2417"/>
      <c r="L8" s="2417"/>
      <c r="M8" s="2417"/>
      <c r="N8" s="2417"/>
      <c r="O8" s="2417"/>
      <c r="P8" s="2417"/>
      <c r="Q8" s="2417"/>
      <c r="R8" s="2417"/>
      <c r="S8" s="2417"/>
      <c r="T8" s="2417"/>
      <c r="U8" s="2417"/>
      <c r="V8" s="2417"/>
      <c r="W8" s="2417"/>
      <c r="X8" s="2417"/>
      <c r="Y8" s="2417"/>
      <c r="Z8" s="2417"/>
      <c r="AA8" s="2417"/>
      <c r="AB8" s="2417"/>
      <c r="AC8" s="2417"/>
      <c r="AD8" s="2417"/>
      <c r="AE8" s="2417"/>
      <c r="AF8" s="2417"/>
      <c r="AG8" s="2417"/>
      <c r="AH8" s="2417"/>
      <c r="AI8" s="2417"/>
      <c r="AJ8" s="2417"/>
      <c r="AK8" s="2418"/>
      <c r="AL8" s="910"/>
      <c r="AM8" s="908"/>
      <c r="AN8" s="908"/>
      <c r="AO8" s="908"/>
      <c r="AP8" s="908"/>
      <c r="AQ8" s="908"/>
      <c r="AR8" s="908"/>
      <c r="AS8" s="908"/>
      <c r="AT8" s="908"/>
      <c r="AU8" s="908"/>
      <c r="AV8" s="908"/>
      <c r="AW8" s="908"/>
      <c r="AX8" s="908"/>
      <c r="AY8" s="908"/>
      <c r="AZ8" s="908"/>
      <c r="BA8" s="908"/>
      <c r="BB8" s="908"/>
      <c r="BC8" s="908"/>
      <c r="BD8" s="908"/>
      <c r="BE8" s="908"/>
      <c r="BF8" s="908"/>
      <c r="BG8" s="759">
        <v>10</v>
      </c>
    </row>
    <row customHeight="1" ht="24">
      <c r="A9" s="906"/>
      <c r="B9" s="906"/>
      <c r="C9" s="906"/>
      <c r="E9" s="909"/>
      <c r="F9" s="2409" t="s">
        <v>1004</v>
      </c>
      <c r="G9" s="2410" t="s">
        <v>1005</v>
      </c>
      <c r="H9" s="2411"/>
      <c r="I9" s="2128" t="s">
        <v>1006</v>
      </c>
      <c r="J9" s="2128"/>
      <c r="K9" s="2128" t="s">
        <v>1007</v>
      </c>
      <c r="L9" s="2128"/>
      <c r="M9" s="2128"/>
      <c r="N9" s="2128"/>
      <c r="O9" s="2128"/>
      <c r="P9" s="2128"/>
      <c r="Q9" s="2128"/>
      <c r="R9" s="2128"/>
      <c r="S9" s="2128"/>
      <c r="T9" s="2128"/>
      <c r="U9" s="2128"/>
      <c r="V9" s="2128"/>
      <c r="W9" s="2128"/>
      <c r="X9" s="2128"/>
      <c r="Y9" s="2128"/>
      <c r="Z9" s="2193" t="s">
        <v>1008</v>
      </c>
      <c r="AA9" s="2194"/>
      <c r="AB9" s="2128" t="s">
        <v>1009</v>
      </c>
      <c r="AC9" s="2128"/>
      <c r="AD9" s="2128"/>
      <c r="AE9" s="2128"/>
      <c r="AF9" s="2176" t="s">
        <v>1010</v>
      </c>
      <c r="AG9" s="2128" t="s">
        <v>1011</v>
      </c>
      <c r="AH9" s="2128"/>
      <c r="AI9" s="2176" t="s">
        <v>1012</v>
      </c>
      <c r="AJ9" s="2128" t="s">
        <v>1013</v>
      </c>
      <c r="AK9" s="2128"/>
      <c r="AL9" s="1143"/>
      <c r="AM9" s="908"/>
      <c r="AN9" s="908"/>
      <c r="AO9" s="908"/>
      <c r="AP9" s="908"/>
      <c r="AQ9" s="908"/>
      <c r="AR9" s="908"/>
      <c r="AS9" s="908"/>
      <c r="AT9" s="908"/>
      <c r="AU9" s="908"/>
      <c r="AV9" s="908"/>
      <c r="AW9" s="908"/>
      <c r="AX9" s="908"/>
      <c r="AY9" s="908"/>
      <c r="AZ9" s="908"/>
      <c r="BA9" s="908"/>
      <c r="BB9" s="908"/>
      <c r="BC9" s="908"/>
      <c r="BD9" s="908"/>
      <c r="BE9" s="908"/>
      <c r="BF9" s="908"/>
      <c r="BG9" s="759">
        <v>23</v>
      </c>
    </row>
    <row customHeight="1" ht="25.2">
      <c r="A10" s="906"/>
      <c r="B10" s="906"/>
      <c r="C10" s="906"/>
      <c r="E10" s="913"/>
      <c r="F10" s="2409"/>
      <c r="G10" s="2412"/>
      <c r="H10" s="2413"/>
      <c r="I10" s="2128"/>
      <c r="J10" s="2128"/>
      <c r="K10" s="2128" t="s">
        <v>1014</v>
      </c>
      <c r="L10" s="2102" t="s">
        <v>1015</v>
      </c>
      <c r="M10" s="2104"/>
      <c r="N10" s="2128" t="s">
        <v>1016</v>
      </c>
      <c r="O10" s="2128"/>
      <c r="P10" s="2128"/>
      <c r="Q10" s="2128"/>
      <c r="R10" s="2128"/>
      <c r="S10" s="2128"/>
      <c r="T10" s="2128"/>
      <c r="U10" s="2128"/>
      <c r="V10" s="2128"/>
      <c r="W10" s="2128"/>
      <c r="X10" s="2128"/>
      <c r="Y10" s="2128"/>
      <c r="Z10" s="2195"/>
      <c r="AA10" s="2196"/>
      <c r="AB10" s="2128"/>
      <c r="AC10" s="2128"/>
      <c r="AD10" s="2128"/>
      <c r="AE10" s="2128"/>
      <c r="AF10" s="2200"/>
      <c r="AG10" s="2128"/>
      <c r="AH10" s="2128"/>
      <c r="AI10" s="2200"/>
      <c r="AJ10" s="2128"/>
      <c r="AK10" s="2128"/>
      <c r="AL10" s="1143"/>
      <c r="AM10" s="914"/>
      <c r="AN10" s="914"/>
      <c r="AO10" s="914"/>
      <c r="AP10" s="914"/>
      <c r="AQ10" s="914"/>
      <c r="AR10" s="914"/>
      <c r="AS10" s="914"/>
      <c r="AT10" s="914"/>
      <c r="AU10" s="914"/>
      <c r="AV10" s="914"/>
      <c r="AW10" s="914"/>
      <c r="AX10" s="914"/>
      <c r="AY10" s="914"/>
      <c r="AZ10" s="914"/>
      <c r="BA10" s="914"/>
      <c r="BB10" s="914"/>
      <c r="BC10" s="914"/>
      <c r="BD10" s="914"/>
      <c r="BE10" s="914"/>
      <c r="BF10" s="914"/>
      <c r="BG10" s="759">
        <v>24</v>
      </c>
    </row>
    <row s="1636" customFormat="1" customHeight="1" ht="25.2">
      <c r="A11" s="1130"/>
      <c r="B11" s="1130"/>
      <c r="C11" s="1130"/>
      <c r="D11" s="1129"/>
      <c r="E11" s="1131"/>
      <c r="F11" s="2409"/>
      <c r="G11" s="2412"/>
      <c r="H11" s="2413"/>
      <c r="I11" s="2128"/>
      <c r="J11" s="2128"/>
      <c r="K11" s="2128"/>
      <c r="L11" s="2176" t="s">
        <v>1017</v>
      </c>
      <c r="M11" s="2176" t="s">
        <v>1018</v>
      </c>
      <c r="N11" s="2128" t="s">
        <v>1019</v>
      </c>
      <c r="O11" s="2128"/>
      <c r="P11" s="2419" t="s">
        <v>1000</v>
      </c>
      <c r="Q11" s="2419" t="s">
        <v>1020</v>
      </c>
      <c r="R11" s="2419" t="s">
        <v>1021</v>
      </c>
      <c r="S11" s="2419" t="s">
        <v>1022</v>
      </c>
      <c r="T11" s="2419"/>
      <c r="U11" s="2419"/>
      <c r="V11" s="2419"/>
      <c r="W11" s="2419"/>
      <c r="X11" s="2419"/>
      <c r="Y11" s="2419"/>
      <c r="Z11" s="2195"/>
      <c r="AA11" s="2196"/>
      <c r="AB11" s="2128" t="s">
        <v>1023</v>
      </c>
      <c r="AC11" s="2128"/>
      <c r="AD11" s="2102" t="s">
        <v>1024</v>
      </c>
      <c r="AE11" s="2104"/>
      <c r="AF11" s="2200"/>
      <c r="AG11" s="2128"/>
      <c r="AH11" s="2128"/>
      <c r="AI11" s="2200"/>
      <c r="AJ11" s="2128"/>
      <c r="AK11" s="2128"/>
      <c r="AL11" s="1143"/>
      <c r="AM11" s="1128"/>
      <c r="AN11" s="1128"/>
      <c r="AO11" s="1128"/>
      <c r="AP11" s="1128"/>
      <c r="AQ11" s="1128"/>
      <c r="AR11" s="1128"/>
      <c r="AS11" s="1128"/>
      <c r="AT11" s="1128"/>
      <c r="AU11" s="1128"/>
      <c r="AV11" s="1128"/>
      <c r="AW11" s="1128"/>
      <c r="AX11" s="1128"/>
      <c r="AY11" s="1128"/>
      <c r="AZ11" s="1128"/>
      <c r="BA11" s="1128"/>
      <c r="BB11" s="1128"/>
      <c r="BC11" s="1128"/>
      <c r="BD11" s="1128"/>
      <c r="BE11" s="1128"/>
      <c r="BF11" s="1128"/>
      <c r="BG11" s="1126">
        <v>24</v>
      </c>
    </row>
    <row customHeight="1" ht="35.699999999999996">
      <c r="A12" s="906"/>
      <c r="B12" s="906"/>
      <c r="C12" s="906"/>
      <c r="E12" s="909"/>
      <c r="F12" s="2409"/>
      <c r="G12" s="2414"/>
      <c r="H12" s="2415"/>
      <c r="I12" s="1154" t="s">
        <v>90</v>
      </c>
      <c r="J12" s="1154" t="s">
        <v>1025</v>
      </c>
      <c r="K12" s="2128"/>
      <c r="L12" s="2233"/>
      <c r="M12" s="2233"/>
      <c r="N12" s="2128"/>
      <c r="O12" s="2128"/>
      <c r="P12" s="2419"/>
      <c r="Q12" s="2419"/>
      <c r="R12" s="2419"/>
      <c r="S12" s="1135" t="s">
        <v>87</v>
      </c>
      <c r="T12" s="1135" t="s">
        <v>88</v>
      </c>
      <c r="U12" s="1135" t="s">
        <v>86</v>
      </c>
      <c r="V12" s="1135" t="s">
        <v>1026</v>
      </c>
      <c r="W12" s="1135" t="s">
        <v>86</v>
      </c>
      <c r="X12" s="1135" t="s">
        <v>1027</v>
      </c>
      <c r="Y12" s="1135" t="s">
        <v>1028</v>
      </c>
      <c r="Z12" s="2201"/>
      <c r="AA12" s="2202"/>
      <c r="AB12" s="1142" t="s">
        <v>1029</v>
      </c>
      <c r="AC12" s="1142" t="s">
        <v>1030</v>
      </c>
      <c r="AD12" s="1142" t="s">
        <v>1029</v>
      </c>
      <c r="AE12" s="1142" t="s">
        <v>1030</v>
      </c>
      <c r="AF12" s="2233"/>
      <c r="AG12" s="1155" t="s">
        <v>1031</v>
      </c>
      <c r="AH12" s="1155" t="s">
        <v>1032</v>
      </c>
      <c r="AI12" s="2233"/>
      <c r="AJ12" s="1155" t="s">
        <v>1031</v>
      </c>
      <c r="AK12" s="1155" t="s">
        <v>1032</v>
      </c>
      <c r="AL12" s="1143"/>
      <c r="AM12" s="908"/>
      <c r="AN12" s="908"/>
      <c r="AO12" s="908"/>
      <c r="AP12" s="908"/>
      <c r="AQ12" s="908"/>
      <c r="AR12" s="908"/>
      <c r="AS12" s="908"/>
      <c r="AT12" s="908"/>
      <c r="AU12" s="908"/>
      <c r="AV12" s="908"/>
      <c r="AW12" s="908"/>
      <c r="AX12" s="908"/>
      <c r="AY12" s="908"/>
      <c r="AZ12" s="908"/>
      <c r="BA12" s="908"/>
      <c r="BB12" s="908"/>
      <c r="BC12" s="908"/>
      <c r="BD12" s="908"/>
      <c r="BE12" s="908"/>
      <c r="BF12" s="908"/>
      <c r="BG12" s="759">
        <v>34</v>
      </c>
    </row>
    <row customHeight="1" ht="1.05">
      <c r="E13" s="909"/>
      <c r="F13" s="1125">
        <v>0</v>
      </c>
      <c r="G13" s="1125"/>
      <c r="H13" s="1125"/>
      <c r="I13" s="1125"/>
      <c r="J13" s="1125"/>
      <c r="K13" s="1132"/>
      <c r="L13" s="1132"/>
      <c r="M13" s="1132"/>
      <c r="N13" s="1132"/>
      <c r="O13" s="1132"/>
      <c r="P13" s="1132"/>
      <c r="Q13" s="1132"/>
      <c r="R13" s="1132"/>
      <c r="S13" s="1132"/>
      <c r="T13" s="1132"/>
      <c r="U13" s="1132"/>
      <c r="V13" s="1132"/>
      <c r="W13" s="1132"/>
      <c r="X13" s="1132"/>
      <c r="Y13" s="1132"/>
      <c r="Z13" s="1132"/>
      <c r="AA13" s="1132"/>
      <c r="AB13" s="1132"/>
      <c r="AC13" s="1132"/>
      <c r="AD13" s="1132"/>
      <c r="AE13" s="1132"/>
      <c r="AF13" s="1132"/>
      <c r="AG13" s="1132"/>
      <c r="AH13" s="1150"/>
      <c r="AI13" s="1143"/>
      <c r="AJ13" s="1132"/>
      <c r="AK13" s="1132"/>
      <c r="AL13" s="910"/>
      <c r="AM13" s="908"/>
      <c r="AN13" s="908"/>
      <c r="AO13" s="908"/>
      <c r="AP13" s="908"/>
      <c r="AQ13" s="908"/>
      <c r="AR13" s="908"/>
      <c r="AS13" s="908"/>
      <c r="AT13" s="908"/>
      <c r="AU13" s="908"/>
      <c r="AV13" s="908"/>
      <c r="AW13" s="908"/>
      <c r="AX13" s="908"/>
      <c r="AY13" s="908"/>
      <c r="AZ13" s="908"/>
      <c r="BA13" s="908"/>
      <c r="BB13" s="908"/>
      <c r="BC13" s="908"/>
      <c r="BD13" s="908"/>
      <c r="BE13" s="908"/>
      <c r="BF13" s="908"/>
      <c r="BG13" s="759">
        <v>1</v>
      </c>
    </row>
    <row customHeight="1" ht="10.5">
      <c r="E14" s="908"/>
      <c r="F14" s="919"/>
      <c r="G14" s="919"/>
      <c r="H14" s="1173"/>
      <c r="I14" s="919"/>
      <c r="J14" s="919"/>
      <c r="K14" s="919"/>
      <c r="L14" s="1132"/>
      <c r="M14" s="1132"/>
      <c r="N14" s="919"/>
      <c r="O14" s="919"/>
      <c r="P14" s="919"/>
      <c r="Q14" s="919"/>
      <c r="R14" s="919"/>
      <c r="S14" s="919"/>
      <c r="T14" s="919"/>
      <c r="U14" s="919"/>
      <c r="V14" s="919"/>
      <c r="W14" s="919"/>
      <c r="X14" s="919"/>
      <c r="Y14" s="919"/>
      <c r="Z14" s="919"/>
      <c r="AA14" s="919"/>
      <c r="AB14" s="919"/>
      <c r="AC14" s="919"/>
      <c r="AD14" s="1132"/>
      <c r="AE14" s="919"/>
      <c r="AF14" s="919"/>
      <c r="AG14" s="919"/>
      <c r="AH14" s="1150"/>
      <c r="AI14" s="1143"/>
      <c r="AJ14" s="919"/>
      <c r="AK14" s="919"/>
      <c r="AL14" s="908"/>
      <c r="AM14" s="908"/>
      <c r="AN14" s="908"/>
      <c r="AO14" s="908"/>
      <c r="AP14" s="908"/>
      <c r="AQ14" s="908"/>
      <c r="AR14" s="908"/>
      <c r="AS14" s="908"/>
      <c r="AT14" s="908"/>
      <c r="AU14" s="908"/>
      <c r="AV14" s="908"/>
      <c r="AW14" s="908"/>
      <c r="AX14" s="908"/>
      <c r="AY14" s="908"/>
      <c r="AZ14" s="908"/>
      <c r="BA14" s="908"/>
      <c r="BB14" s="908"/>
      <c r="BC14" s="908"/>
      <c r="BD14" s="908"/>
      <c r="BE14" s="908"/>
      <c r="BF14" s="908"/>
      <c r="BG14" s="759">
        <v>10</v>
      </c>
    </row>
    <row customHeight="1" ht="13.5">
      <c r="E15" s="908"/>
      <c r="F15" s="915" t="s">
        <v>1033</v>
      </c>
      <c r="G15" s="915"/>
      <c r="H15" s="1172"/>
      <c r="I15" s="915"/>
      <c r="J15" s="915"/>
      <c r="K15" s="912"/>
      <c r="L15" s="1128"/>
      <c r="M15" s="1128"/>
      <c r="N15" s="914"/>
      <c r="O15" s="914"/>
      <c r="P15" s="914"/>
      <c r="Q15" s="914"/>
      <c r="R15" s="914"/>
      <c r="S15" s="914"/>
      <c r="T15" s="914"/>
      <c r="U15" s="914"/>
      <c r="V15" s="914"/>
      <c r="W15" s="914"/>
      <c r="X15" s="914"/>
      <c r="Y15" s="914"/>
      <c r="Z15" s="912"/>
      <c r="AA15" s="912"/>
      <c r="AB15" s="912"/>
      <c r="AC15" s="912"/>
      <c r="AD15" s="1128"/>
      <c r="AE15" s="912"/>
      <c r="AF15" s="912"/>
      <c r="AG15" s="912"/>
      <c r="AH15" s="1147"/>
      <c r="AI15" s="1140"/>
      <c r="AJ15" s="912"/>
      <c r="AK15" s="912"/>
      <c r="AL15" s="908"/>
      <c r="AM15" s="908"/>
      <c r="AN15" s="908"/>
      <c r="AO15" s="908"/>
      <c r="AP15" s="908"/>
      <c r="AQ15" s="908"/>
      <c r="AR15" s="908"/>
      <c r="AS15" s="908"/>
      <c r="AT15" s="908"/>
      <c r="AU15" s="908"/>
      <c r="AV15" s="908"/>
      <c r="AW15" s="908"/>
      <c r="AX15" s="908"/>
      <c r="AY15" s="908"/>
      <c r="AZ15" s="908"/>
      <c r="BA15" s="908"/>
      <c r="BB15" s="908"/>
      <c r="BC15" s="908"/>
      <c r="BD15" s="908"/>
      <c r="BE15" s="908"/>
      <c r="BF15" s="908"/>
      <c r="BG15" s="759">
        <v>13</v>
      </c>
    </row>
    <row customHeight="1" ht="10.5">
      <c r="BG16" s="759">
        <v>10</v>
      </c>
    </row>
    <row customHeight="1" ht="10.5">
      <c r="E17" s="908"/>
      <c r="F17" s="2408"/>
      <c r="G17" s="2408"/>
      <c r="H17" s="2408"/>
      <c r="I17" s="2408"/>
      <c r="J17" s="2408"/>
      <c r="K17" s="912"/>
      <c r="L17" s="1128"/>
      <c r="M17" s="1128"/>
      <c r="N17" s="914"/>
      <c r="O17" s="914"/>
      <c r="P17" s="914"/>
      <c r="Q17" s="914"/>
      <c r="R17" s="914"/>
      <c r="S17" s="914"/>
      <c r="T17" s="914"/>
      <c r="U17" s="914"/>
      <c r="V17" s="914"/>
      <c r="W17" s="914"/>
      <c r="X17" s="914"/>
      <c r="Y17" s="914"/>
      <c r="Z17" s="912"/>
      <c r="AA17" s="912"/>
      <c r="AB17" s="912"/>
      <c r="AC17" s="912"/>
      <c r="AD17" s="1128"/>
      <c r="AE17" s="912"/>
      <c r="AF17" s="912"/>
      <c r="AG17" s="912"/>
      <c r="AH17" s="1147"/>
      <c r="AI17" s="1140"/>
      <c r="AJ17" s="912"/>
      <c r="AK17" s="912"/>
      <c r="AL17" s="908"/>
      <c r="AM17" s="908"/>
      <c r="AN17" s="908"/>
      <c r="AO17" s="908"/>
      <c r="AP17" s="908"/>
      <c r="AQ17" s="908"/>
      <c r="AR17" s="908"/>
      <c r="AS17" s="908"/>
      <c r="AT17" s="908"/>
      <c r="AU17" s="908"/>
      <c r="AV17" s="908"/>
      <c r="AW17" s="908"/>
      <c r="AX17" s="908"/>
      <c r="AY17" s="908"/>
      <c r="AZ17" s="908"/>
      <c r="BA17" s="908"/>
      <c r="BB17" s="908"/>
      <c r="BC17" s="908"/>
      <c r="BD17" s="908"/>
      <c r="BE17" s="908"/>
      <c r="BF17" s="908"/>
      <c r="BG17" s="759">
        <v>10</v>
      </c>
    </row>
    <row customHeight="1" ht="10.5">
      <c r="E18" s="908"/>
      <c r="F18" s="2408"/>
      <c r="G18" s="2408"/>
      <c r="H18" s="2408"/>
      <c r="I18" s="2408"/>
      <c r="J18" s="2408"/>
      <c r="K18" s="912"/>
      <c r="L18" s="1128"/>
      <c r="M18" s="1128"/>
      <c r="N18" s="914"/>
      <c r="O18" s="914"/>
      <c r="P18" s="914"/>
      <c r="Q18" s="914"/>
      <c r="R18" s="914"/>
      <c r="S18" s="914"/>
      <c r="T18" s="914"/>
      <c r="U18" s="914"/>
      <c r="V18" s="914"/>
      <c r="W18" s="914"/>
      <c r="X18" s="914"/>
      <c r="Y18" s="914"/>
      <c r="Z18" s="912"/>
      <c r="AA18" s="912"/>
      <c r="AB18" s="912"/>
      <c r="AC18" s="912"/>
      <c r="AD18" s="1128"/>
      <c r="AE18" s="912"/>
      <c r="AF18" s="912"/>
      <c r="AG18" s="912"/>
      <c r="AH18" s="1147"/>
      <c r="AI18" s="1140"/>
      <c r="AJ18" s="912"/>
      <c r="AK18" s="912"/>
      <c r="AL18" s="908"/>
      <c r="AM18" s="908"/>
      <c r="AN18" s="908"/>
      <c r="AO18" s="908"/>
      <c r="AP18" s="908"/>
      <c r="AQ18" s="908"/>
      <c r="AR18" s="908"/>
      <c r="AS18" s="908"/>
      <c r="AT18" s="908"/>
      <c r="AU18" s="908"/>
      <c r="AV18" s="908"/>
      <c r="AW18" s="908"/>
      <c r="AX18" s="908"/>
      <c r="AY18" s="908"/>
      <c r="AZ18" s="908"/>
      <c r="BA18" s="908"/>
      <c r="BB18" s="908"/>
      <c r="BC18" s="908"/>
      <c r="BD18" s="908"/>
      <c r="BE18" s="908"/>
      <c r="BF18" s="908"/>
      <c r="BG18" s="759">
        <v>10</v>
      </c>
    </row>
    <row customHeight="1" ht="10.5">
      <c r="E19" s="908"/>
      <c r="F19" s="2408"/>
      <c r="G19" s="2408"/>
      <c r="H19" s="2408"/>
      <c r="I19" s="2408"/>
      <c r="J19" s="2408"/>
      <c r="K19" s="912"/>
      <c r="L19" s="1128"/>
      <c r="M19" s="1128"/>
      <c r="N19" s="914"/>
      <c r="O19" s="914"/>
      <c r="P19" s="914"/>
      <c r="Q19" s="914"/>
      <c r="R19" s="914"/>
      <c r="S19" s="914"/>
      <c r="T19" s="914"/>
      <c r="U19" s="914"/>
      <c r="V19" s="914"/>
      <c r="W19" s="914"/>
      <c r="X19" s="914"/>
      <c r="Y19" s="914"/>
      <c r="Z19" s="912"/>
      <c r="AA19" s="912"/>
      <c r="AB19" s="912"/>
      <c r="AC19" s="912"/>
      <c r="AD19" s="1128"/>
      <c r="AE19" s="912"/>
      <c r="AF19" s="912"/>
      <c r="AG19" s="912"/>
      <c r="AH19" s="1147"/>
      <c r="AI19" s="1140"/>
      <c r="AJ19" s="912"/>
      <c r="AK19" s="912"/>
      <c r="AL19" s="908"/>
      <c r="AM19" s="908"/>
      <c r="AN19" s="908"/>
      <c r="AO19" s="908"/>
      <c r="AP19" s="908"/>
      <c r="AQ19" s="908"/>
      <c r="AR19" s="908"/>
      <c r="AS19" s="908"/>
      <c r="AT19" s="908"/>
      <c r="AU19" s="908"/>
      <c r="AV19" s="908"/>
      <c r="AW19" s="908"/>
      <c r="AX19" s="908"/>
      <c r="AY19" s="908"/>
      <c r="AZ19" s="908"/>
      <c r="BA19" s="908"/>
      <c r="BB19" s="908"/>
      <c r="BC19" s="908"/>
      <c r="BD19" s="908"/>
      <c r="BE19" s="908"/>
      <c r="BF19" s="908"/>
      <c r="BG19" s="759">
        <v>10</v>
      </c>
    </row>
    <row customHeight="1" ht="10.5" hidden="1">
      <c r="A20" s="896" t="s">
        <v>83</v>
      </c>
      <c r="B20" s="896">
        <v>0</v>
      </c>
      <c r="C20" s="896">
        <v>0</v>
      </c>
      <c r="D20" s="418">
        <v>0</v>
      </c>
      <c r="E20" s="510">
        <v>3</v>
      </c>
      <c r="F20" s="759">
        <v>14</v>
      </c>
      <c r="G20" s="759">
        <v>3</v>
      </c>
      <c r="H20" s="1156">
        <v>7</v>
      </c>
      <c r="I20" s="759">
        <v>16</v>
      </c>
      <c r="J20" s="759">
        <v>16</v>
      </c>
      <c r="K20" s="759">
        <v>25</v>
      </c>
      <c r="L20" s="1126">
        <v>7</v>
      </c>
      <c r="M20" s="1126">
        <v>15</v>
      </c>
      <c r="N20" s="759">
        <v>3</v>
      </c>
      <c r="O20" s="759">
        <v>4</v>
      </c>
      <c r="P20" s="759">
        <v>8</v>
      </c>
      <c r="Q20" s="759">
        <v>21</v>
      </c>
      <c r="R20" s="759">
        <v>14</v>
      </c>
      <c r="S20" s="759">
        <v>17</v>
      </c>
      <c r="T20" s="759">
        <v>17</v>
      </c>
      <c r="U20" s="759">
        <v>9</v>
      </c>
      <c r="V20" s="759">
        <v>12</v>
      </c>
      <c r="W20" s="759">
        <v>9</v>
      </c>
      <c r="X20" s="759">
        <v>21</v>
      </c>
      <c r="Y20" s="759">
        <v>12</v>
      </c>
      <c r="Z20" s="759">
        <v>3</v>
      </c>
      <c r="AA20" s="759">
        <v>6</v>
      </c>
      <c r="AB20" s="759">
        <v>38</v>
      </c>
      <c r="AC20" s="759">
        <v>15</v>
      </c>
      <c r="AD20" s="1126">
        <v>0</v>
      </c>
      <c r="AE20" s="759">
        <v>0</v>
      </c>
      <c r="AF20" s="759">
        <v>16</v>
      </c>
      <c r="AG20" s="759">
        <v>16</v>
      </c>
      <c r="AH20" s="1145">
        <v>16</v>
      </c>
      <c r="AI20" s="1138">
        <v>0</v>
      </c>
      <c r="AJ20" s="759">
        <v>0</v>
      </c>
      <c r="AK20" s="759">
        <v>0</v>
      </c>
      <c r="AL20" s="759">
        <v>8</v>
      </c>
      <c r="AM20" s="759">
        <v>8</v>
      </c>
      <c r="AN20" s="759">
        <v>8</v>
      </c>
      <c r="AO20" s="759">
        <v>8</v>
      </c>
      <c r="AP20" s="759">
        <v>8</v>
      </c>
      <c r="AQ20" s="759">
        <v>8</v>
      </c>
      <c r="AR20" s="759">
        <v>8</v>
      </c>
      <c r="AS20" s="759">
        <v>8</v>
      </c>
      <c r="AT20" s="759">
        <v>8</v>
      </c>
      <c r="AU20" s="759">
        <v>8</v>
      </c>
      <c r="AV20" s="759">
        <v>8</v>
      </c>
      <c r="AW20" s="759">
        <v>8</v>
      </c>
      <c r="AX20" s="759">
        <v>8</v>
      </c>
      <c r="AY20" s="759">
        <v>8</v>
      </c>
      <c r="AZ20" s="759">
        <v>8</v>
      </c>
      <c r="BA20" s="759">
        <v>8</v>
      </c>
      <c r="BB20" s="759">
        <v>8</v>
      </c>
      <c r="BC20" s="759">
        <v>8</v>
      </c>
      <c r="BD20" s="759">
        <v>8</v>
      </c>
      <c r="BE20" s="759">
        <v>8</v>
      </c>
      <c r="BF20" s="759">
        <v>8</v>
      </c>
      <c r="BG20" s="759">
        <v>10</v>
      </c>
    </row>
  </sheetData>
  <sheetProtection formatColumns="0" formatRows="0" autoFilter="0" sort="0" insertRows="0" insertColumns="1" deleteRows="0" deleteColumns="0"/>
  <mergeCells count="28">
    <mergeCell ref="AB9:AE10"/>
    <mergeCell ref="S11:Y11"/>
    <mergeCell ref="N10:Y10"/>
    <mergeCell ref="K9:Y9"/>
    <mergeCell ref="N11:O12"/>
    <mergeCell ref="P11:P12"/>
    <mergeCell ref="Q11:Q12"/>
    <mergeCell ref="F19:J19"/>
    <mergeCell ref="F9:F12"/>
    <mergeCell ref="G9:H12"/>
    <mergeCell ref="F6:K6"/>
    <mergeCell ref="F8:AK8"/>
    <mergeCell ref="R11:R12"/>
    <mergeCell ref="L10:M10"/>
    <mergeCell ref="Z9:AA12"/>
    <mergeCell ref="M11:M12"/>
    <mergeCell ref="L11:L12"/>
    <mergeCell ref="AB11:AC11"/>
    <mergeCell ref="AD11:AE11"/>
    <mergeCell ref="AI9:AI12"/>
    <mergeCell ref="AG9:AH11"/>
    <mergeCell ref="AJ9:AK11"/>
    <mergeCell ref="AF9:AF12"/>
    <mergeCell ref="I9:J11"/>
    <mergeCell ref="K10:K12"/>
    <mergeCell ref="F18:J18"/>
    <mergeCell ref="F17:J17"/>
    <mergeCell ref="F5:K5"/>
  </mergeCell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AA022AA5-07FC-D9D3-FD5F-C618F2D47F48}" mc:Ignorable="x14ac xr xr2 xr3">
  <sheetPr>
    <tabColor theme="9" tint="-0.25"/>
  </sheetPr>
  <dimension ref="A1:W59"/>
  <sheetViews>
    <sheetView showGridLines="0" zoomScale="85" workbookViewId="0">
      <pane xSplit="9" ySplit="13" topLeftCell="J14" activePane="bottomRight" state="frozen"/>
      <selection pane="bottomLeft" activeCell="A14" sqref="A14"/>
      <selection pane="topRight" activeCell="J1" sqref="J1"/>
      <selection pane="bottomRight" activeCell="A1" sqref="A1"/>
    </sheetView>
  </sheetViews>
  <sheetFormatPr defaultColWidth="9.140625" customHeight="1" defaultRowHeight="10.5"/>
  <cols>
    <col min="1" max="3" style="1167" width="4.140625" hidden="1" customWidth="1"/>
    <col min="4" max="4" style="1367" width="4.140625" hidden="1" customWidth="1"/>
    <col min="5" max="5" style="1636" width="3.00390625" customWidth="1"/>
    <col min="6" max="6" style="1636" width="6.00390625" customWidth="1"/>
    <col min="7" max="7" style="1636" width="60.00390625" customWidth="1"/>
    <col min="8" max="9" style="1636" width="21.7109375" hidden="1" customWidth="1"/>
    <col min="10" max="10" style="1636" width="0.140625" customWidth="1"/>
    <col min="11" max="11" style="1636" width="1.00390625" customWidth="1"/>
    <col min="12" max="22" style="1636" width="8.00390625" customWidth="1"/>
    <col min="23" max="23" style="1636" width="9.140625" hidden="1"/>
  </cols>
  <sheetData>
    <row s="1367" customFormat="1" customHeight="1" ht="10.5" hidden="1">
      <c r="A1" s="1167"/>
      <c r="B1" s="1167"/>
      <c r="C1" s="1167"/>
      <c r="E1" s="538"/>
      <c r="W1" s="1161" t="s">
        <v>14</v>
      </c>
    </row>
    <row customHeight="1" ht="10.5" hidden="1">
      <c r="W2" s="1156">
        <v>0</v>
      </c>
    </row>
    <row s="1633" customFormat="1" customHeight="1" ht="10.5" hidden="1">
      <c r="A3" s="1167"/>
      <c r="B3" s="1167"/>
      <c r="C3" s="1167"/>
      <c r="D3" s="1161"/>
      <c r="E3" s="363"/>
      <c r="W3" s="1157">
        <v>0</v>
      </c>
    </row>
    <row customHeight="1" ht="3">
      <c r="W4" s="1156">
        <v>3</v>
      </c>
    </row>
    <row customHeight="1" ht="27.299999999999997">
      <c r="F5" s="2249" t="str">
        <f>IP_NAME_FORM&amp;"
Финансовый план"</f>
        <v>Форма 13. Информация об инвестиционных программах регулируемой организации и отчетах об их исполнении, об инвестиционных программах единой теплоснабжающей организации в ценовых зонах теплоснабжения, разрабатываемых и утверждаемых в отношении видов деятельности, при осуществлении которых расчеты за товары (услуги) в сфере теплоснабжения осуществляются по регулируемым ценам (тарифам) в сфере теплоснабжения (за исключением деятельности по подключению (технологическому присоединению) к системе теплоснабжения), об инвестиционных программах теплоснабжающей организации в ценовых зонах теплоснабжения и теплосетевой организации в ценовых зонах теплоснабжения, разрабатываемых и утверждаемых в отношении видов деятельности, при осуществлении которых расчеты за товары (услуги) в сфере теплоснабжения осуществляются по регулируемым ценам (тарифам) в сфере теплоснабжения (за исключением деятельности по подключению (технологическому присоединению) к системе теплоснабжения)
Финансовый план</v>
      </c>
      <c r="G5" s="2249"/>
      <c r="H5" s="2249"/>
      <c r="I5" s="2249"/>
      <c r="J5" s="2249"/>
      <c r="W5" s="1156">
        <v>26</v>
      </c>
    </row>
    <row customHeight="1" ht="10.5">
      <c r="F6" s="2177" t="str">
        <f>IF(org=0,"Не определено",org)</f>
        <v>ПАО "КГК"</v>
      </c>
      <c r="G6" s="2177"/>
      <c r="H6" s="2177"/>
      <c r="I6" s="2177"/>
      <c r="J6" s="2177"/>
      <c r="W6" s="1156">
        <v>10</v>
      </c>
    </row>
    <row customHeight="1" ht="11.549999999999999">
      <c r="E7" s="1171"/>
      <c r="F7" s="1228"/>
      <c r="G7" s="1228"/>
      <c r="H7" s="1228"/>
      <c r="I7" s="1228"/>
      <c r="J7" s="1228"/>
      <c r="K7" s="1158"/>
      <c r="L7" s="1158"/>
      <c r="M7" s="1158"/>
      <c r="N7" s="1158"/>
      <c r="O7" s="1158"/>
      <c r="P7" s="1158"/>
      <c r="Q7" s="1158"/>
      <c r="R7" s="1158"/>
      <c r="S7" s="1158"/>
      <c r="T7" s="1158"/>
      <c r="U7" s="1158"/>
      <c r="V7" s="1158"/>
      <c r="W7" s="1156">
        <v>11</v>
      </c>
    </row>
    <row s="1643" customFormat="1" customHeight="1" ht="4.2">
      <c r="A8" s="1168"/>
      <c r="B8" s="1168"/>
      <c r="C8" s="1168"/>
      <c r="E8" s="1229"/>
      <c r="F8" s="1230"/>
      <c r="G8" s="1230"/>
      <c r="H8" s="1230"/>
      <c r="I8" s="1230"/>
      <c r="J8" s="1230"/>
      <c r="K8" s="1229"/>
      <c r="L8" s="1229"/>
      <c r="M8" s="1229"/>
      <c r="N8" s="1229"/>
      <c r="O8" s="1229"/>
      <c r="P8" s="1229"/>
      <c r="Q8" s="1229"/>
      <c r="R8" s="1229"/>
      <c r="S8" s="1229"/>
      <c r="T8" s="1229"/>
      <c r="U8" s="1229"/>
      <c r="V8" s="1229"/>
      <c r="W8" s="512">
        <v>4</v>
      </c>
    </row>
    <row customHeight="1" ht="10.5">
      <c r="E9" s="1171"/>
      <c r="F9" s="2420" t="s">
        <v>317</v>
      </c>
      <c r="G9" s="2421"/>
      <c r="H9" s="2421"/>
      <c r="I9" s="2421"/>
      <c r="J9" s="2421"/>
      <c r="K9" s="1241"/>
      <c r="L9" s="1158"/>
      <c r="M9" s="1158"/>
      <c r="N9" s="1158"/>
      <c r="O9" s="1158"/>
      <c r="P9" s="1158"/>
      <c r="Q9" s="1158"/>
      <c r="R9" s="1158"/>
      <c r="S9" s="1158"/>
      <c r="T9" s="1158"/>
      <c r="U9" s="1158"/>
      <c r="V9" s="1158"/>
      <c r="W9" s="1156">
        <v>10</v>
      </c>
    </row>
    <row customHeight="1" ht="25.2">
      <c r="E10" s="1158"/>
      <c r="F10" s="2424" t="s">
        <v>89</v>
      </c>
      <c r="G10" s="2429" t="s">
        <v>1034</v>
      </c>
      <c r="H10" s="2427" t="s">
        <v>1035</v>
      </c>
      <c r="I10" s="2427"/>
      <c r="J10" s="2427"/>
      <c r="K10" s="1234"/>
      <c r="L10" s="1158"/>
      <c r="M10" s="1158"/>
      <c r="N10" s="1158"/>
      <c r="O10" s="1158"/>
      <c r="P10" s="1158"/>
      <c r="Q10" s="1158"/>
      <c r="R10" s="1158"/>
      <c r="S10" s="1158"/>
      <c r="T10" s="1158"/>
      <c r="U10" s="1158"/>
      <c r="V10" s="1158"/>
      <c r="W10" s="1156">
        <v>24</v>
      </c>
    </row>
    <row customHeight="1" ht="25.5">
      <c r="E11" s="1158"/>
      <c r="F11" s="2425"/>
      <c r="G11" s="2429"/>
      <c r="H11" s="2428">
        <f>INDEX(IP_MAIN_LIST_NAME_IP,MATCH(H8,IP_MAIN_LIST_IP_ID,0))&amp;" ("&amp;INDEX(IP_MAIN_START_DATE,MATCH(H8,IP_MAIN_LIST_IP_ID,0))&amp;"-"&amp;INDEX(IP_MAIN_END_DATE,MATCH(H8,IP_MAIN_LIST_IP_ID,0))&amp;")"</f>
      </c>
      <c r="I11" s="2428"/>
      <c r="J11" s="2428"/>
      <c r="K11" s="1234"/>
      <c r="L11" s="1158"/>
      <c r="M11" s="1158"/>
      <c r="N11" s="1158"/>
      <c r="O11" s="1158"/>
      <c r="P11" s="1158"/>
      <c r="Q11" s="1158"/>
      <c r="R11" s="1158"/>
      <c r="S11" s="1158"/>
      <c r="T11" s="1158"/>
      <c r="U11" s="1158"/>
      <c r="V11" s="1158"/>
      <c r="W11" s="1156">
        <v>24</v>
      </c>
    </row>
    <row customHeight="1" ht="10.5">
      <c r="F12" s="2426"/>
      <c r="G12" s="2429"/>
      <c r="H12" s="1227" t="s">
        <v>1036</v>
      </c>
      <c r="I12" s="1233"/>
      <c r="J12" s="1227"/>
      <c r="K12" s="1235"/>
      <c r="W12" s="1156">
        <v>10</v>
      </c>
    </row>
    <row customHeight="1" ht="10.5" hidden="1">
      <c r="F13" s="1227">
        <v>1</v>
      </c>
      <c r="G13" s="1227">
        <v>2</v>
      </c>
      <c r="H13" s="1227">
        <v>3</v>
      </c>
      <c r="I13" s="1227">
        <v>4</v>
      </c>
      <c r="J13" s="1227">
        <v>5</v>
      </c>
      <c r="K13" s="1235"/>
      <c r="W13" s="1156">
        <v>0</v>
      </c>
    </row>
    <row customHeight="1" ht="11.549999999999999">
      <c r="F14" s="1226" t="s">
        <v>1037</v>
      </c>
      <c r="G14" s="2422" t="s">
        <v>1038</v>
      </c>
      <c r="H14" s="2422"/>
      <c r="I14" s="2422"/>
      <c r="J14" s="2422"/>
      <c r="K14" s="1235"/>
      <c r="W14" s="1156">
        <v>11</v>
      </c>
    </row>
    <row customHeight="1" ht="11.549999999999999">
      <c r="F15" s="1231">
        <v>1</v>
      </c>
      <c r="G15" s="691" t="s">
        <v>1039</v>
      </c>
      <c r="H15" s="1237">
        <f>SUM(I15:J15)</f>
        <v>0</v>
      </c>
      <c r="I15" s="1237">
        <f>SUM(I16:I27)</f>
        <v>0</v>
      </c>
      <c r="J15" s="1226"/>
      <c r="K15" s="1235"/>
      <c r="W15" s="1156">
        <v>11</v>
      </c>
    </row>
    <row customHeight="1" ht="24">
      <c r="F16" s="1231" t="s">
        <v>1040</v>
      </c>
      <c r="G16" s="1238" t="s">
        <v>1041</v>
      </c>
      <c r="H16" s="1237">
        <f>SUM(I16:J16)</f>
        <v>0</v>
      </c>
      <c r="I16" s="1236"/>
      <c r="J16" s="1226"/>
      <c r="K16" s="1235"/>
      <c r="W16" s="1156">
        <v>23</v>
      </c>
    </row>
    <row customHeight="1" ht="24">
      <c r="F17" s="1231" t="s">
        <v>1042</v>
      </c>
      <c r="G17" s="1238" t="s">
        <v>1043</v>
      </c>
      <c r="H17" s="1237">
        <f>SUM(I17:J17)</f>
        <v>0</v>
      </c>
      <c r="I17" s="1236"/>
      <c r="J17" s="1226"/>
      <c r="K17" s="1235"/>
      <c r="W17" s="1156">
        <v>23</v>
      </c>
    </row>
    <row customHeight="1" ht="35.699999999999996">
      <c r="F18" s="1231" t="s">
        <v>1044</v>
      </c>
      <c r="G18" s="1238" t="s">
        <v>1045</v>
      </c>
      <c r="H18" s="1237">
        <f>SUM(I18:J18)</f>
        <v>0</v>
      </c>
      <c r="I18" s="1236"/>
      <c r="J18" s="1226"/>
      <c r="K18" s="1235"/>
      <c r="W18" s="1156">
        <v>34</v>
      </c>
    </row>
    <row customHeight="1" ht="35.699999999999996">
      <c r="F19" s="1231" t="s">
        <v>1046</v>
      </c>
      <c r="G19" s="1238" t="s">
        <v>1047</v>
      </c>
      <c r="H19" s="1237">
        <f>SUM(I19:J19)</f>
        <v>0</v>
      </c>
      <c r="I19" s="1236"/>
      <c r="J19" s="1226"/>
      <c r="K19" s="1235"/>
      <c r="W19" s="1156">
        <v>34</v>
      </c>
    </row>
    <row customHeight="1" ht="48.29999999999999">
      <c r="F20" s="1231" t="s">
        <v>1048</v>
      </c>
      <c r="G20" s="1238" t="s">
        <v>1049</v>
      </c>
      <c r="H20" s="1237">
        <f>SUM(I20:J20)</f>
        <v>0</v>
      </c>
      <c r="I20" s="1236"/>
      <c r="J20" s="1226"/>
      <c r="K20" s="1235"/>
      <c r="W20" s="1156">
        <v>46</v>
      </c>
    </row>
    <row customHeight="1" ht="35.699999999999996">
      <c r="F21" s="1231" t="s">
        <v>1050</v>
      </c>
      <c r="G21" s="1238" t="s">
        <v>1051</v>
      </c>
      <c r="H21" s="1237">
        <f>SUM(I21:J21)</f>
        <v>0</v>
      </c>
      <c r="I21" s="1236"/>
      <c r="J21" s="1226"/>
      <c r="K21" s="1235"/>
      <c r="W21" s="1156">
        <v>34</v>
      </c>
    </row>
    <row customHeight="1" ht="35.699999999999996">
      <c r="F22" s="1231" t="s">
        <v>1052</v>
      </c>
      <c r="G22" s="1238" t="s">
        <v>1053</v>
      </c>
      <c r="H22" s="1237">
        <f>SUM(I22:J22)</f>
        <v>0</v>
      </c>
      <c r="I22" s="1236"/>
      <c r="J22" s="1226"/>
      <c r="K22" s="1235"/>
      <c r="W22" s="1156">
        <v>34</v>
      </c>
    </row>
    <row customHeight="1" ht="24">
      <c r="F23" s="1231" t="s">
        <v>1054</v>
      </c>
      <c r="G23" s="1238" t="s">
        <v>1055</v>
      </c>
      <c r="H23" s="1237">
        <f>SUM(I23:J23)</f>
        <v>0</v>
      </c>
      <c r="I23" s="1236"/>
      <c r="J23" s="1226"/>
      <c r="K23" s="1235"/>
      <c r="W23" s="1156">
        <v>23</v>
      </c>
    </row>
    <row customHeight="1" ht="24">
      <c r="F24" s="1231" t="s">
        <v>1056</v>
      </c>
      <c r="G24" s="1238" t="s">
        <v>1057</v>
      </c>
      <c r="H24" s="1237">
        <f>SUM(I24:J24)</f>
        <v>0</v>
      </c>
      <c r="I24" s="1236"/>
      <c r="J24" s="1226"/>
      <c r="K24" s="1235"/>
      <c r="W24" s="1156">
        <v>23</v>
      </c>
    </row>
    <row customHeight="1" ht="35.699999999999996">
      <c r="F25" s="1231" t="s">
        <v>1058</v>
      </c>
      <c r="G25" s="1238" t="s">
        <v>1059</v>
      </c>
      <c r="H25" s="1237">
        <f>SUM(I25:J25)</f>
        <v>0</v>
      </c>
      <c r="I25" s="1236"/>
      <c r="J25" s="1226"/>
      <c r="K25" s="1235"/>
      <c r="W25" s="1156">
        <v>34</v>
      </c>
    </row>
    <row customHeight="1" ht="35.699999999999996">
      <c r="F26" s="1231" t="s">
        <v>1060</v>
      </c>
      <c r="G26" s="1238" t="s">
        <v>1061</v>
      </c>
      <c r="H26" s="1237">
        <f>SUM(I26:J26)</f>
        <v>0</v>
      </c>
      <c r="I26" s="1236"/>
      <c r="J26" s="1226"/>
      <c r="K26" s="1235"/>
      <c r="W26" s="1156">
        <v>34</v>
      </c>
    </row>
    <row customHeight="1" ht="11.549999999999999">
      <c r="F27" s="1231" t="s">
        <v>1062</v>
      </c>
      <c r="G27" s="1238" t="s">
        <v>1063</v>
      </c>
      <c r="H27" s="1237">
        <f>SUM(I27:J27)</f>
        <v>0</v>
      </c>
      <c r="I27" s="1236"/>
      <c r="J27" s="1226"/>
      <c r="K27" s="1235"/>
      <c r="W27" s="1156">
        <v>11</v>
      </c>
    </row>
    <row customHeight="1" ht="11.549999999999999">
      <c r="F28" s="1231">
        <v>2</v>
      </c>
      <c r="G28" s="691" t="s">
        <v>1064</v>
      </c>
      <c r="H28" s="1237">
        <f>SUM(I28:J28)</f>
        <v>0</v>
      </c>
      <c r="I28" s="1237">
        <f>SUM(I29:I31)</f>
        <v>0</v>
      </c>
      <c r="J28" s="1226"/>
      <c r="K28" s="1235"/>
      <c r="W28" s="1156">
        <v>11</v>
      </c>
    </row>
    <row customHeight="1" ht="11.549999999999999">
      <c r="F29" s="1231" t="s">
        <v>727</v>
      </c>
      <c r="G29" s="1238" t="s">
        <v>1065</v>
      </c>
      <c r="H29" s="1237">
        <f>SUM(I29:J29)</f>
        <v>0</v>
      </c>
      <c r="I29" s="1236"/>
      <c r="J29" s="1226"/>
      <c r="K29" s="1235"/>
      <c r="W29" s="1156">
        <v>11</v>
      </c>
    </row>
    <row customHeight="1" ht="11.549999999999999">
      <c r="F30" s="1231" t="s">
        <v>324</v>
      </c>
      <c r="G30" s="1238" t="s">
        <v>1066</v>
      </c>
      <c r="H30" s="1237">
        <f>SUM(I30:J30)</f>
        <v>0</v>
      </c>
      <c r="I30" s="1236"/>
      <c r="J30" s="1226"/>
      <c r="K30" s="1235"/>
      <c r="W30" s="1156">
        <v>11</v>
      </c>
    </row>
    <row customHeight="1" ht="11.549999999999999">
      <c r="F31" s="1231" t="s">
        <v>327</v>
      </c>
      <c r="G31" s="1238" t="s">
        <v>1067</v>
      </c>
      <c r="H31" s="1237">
        <f>SUM(I31:J31)</f>
        <v>0</v>
      </c>
      <c r="I31" s="1236"/>
      <c r="J31" s="1226"/>
      <c r="K31" s="1235"/>
      <c r="W31" s="1156">
        <v>11</v>
      </c>
    </row>
    <row customHeight="1" ht="11.549999999999999">
      <c r="F32" s="1231">
        <v>3</v>
      </c>
      <c r="G32" s="691" t="s">
        <v>1068</v>
      </c>
      <c r="H32" s="1237">
        <f>SUM(I32:J32)</f>
        <v>0</v>
      </c>
      <c r="I32" s="1237">
        <f>SUM(I33:I34)</f>
        <v>0</v>
      </c>
      <c r="J32" s="1226"/>
      <c r="K32" s="1235"/>
      <c r="W32" s="1156">
        <v>11</v>
      </c>
    </row>
    <row customHeight="1" ht="48.29999999999999">
      <c r="F33" s="1231" t="s">
        <v>341</v>
      </c>
      <c r="G33" s="1238" t="s">
        <v>1069</v>
      </c>
      <c r="H33" s="1237">
        <f>SUM(I33:J33)</f>
        <v>0</v>
      </c>
      <c r="I33" s="1236"/>
      <c r="J33" s="1226"/>
      <c r="K33" s="1235"/>
      <c r="W33" s="1156">
        <v>46</v>
      </c>
    </row>
    <row customHeight="1" ht="11.549999999999999">
      <c r="F34" s="1231" t="s">
        <v>349</v>
      </c>
      <c r="G34" s="1238" t="s">
        <v>1070</v>
      </c>
      <c r="H34" s="1237">
        <f>SUM(I34:J34)</f>
        <v>0</v>
      </c>
      <c r="I34" s="1236"/>
      <c r="J34" s="1226"/>
      <c r="K34" s="1235"/>
      <c r="W34" s="1156">
        <v>11</v>
      </c>
    </row>
    <row customHeight="1" ht="11.549999999999999">
      <c r="F35" s="1231">
        <v>4</v>
      </c>
      <c r="G35" s="691" t="s">
        <v>1071</v>
      </c>
      <c r="H35" s="1237">
        <f>SUM(I35:J35)</f>
        <v>0</v>
      </c>
      <c r="I35" s="1236"/>
      <c r="J35" s="1226"/>
      <c r="K35" s="1235"/>
      <c r="W35" s="1156">
        <v>11</v>
      </c>
    </row>
    <row customHeight="1" ht="11.549999999999999">
      <c r="F36" s="1231"/>
      <c r="G36" s="694" t="s">
        <v>1072</v>
      </c>
      <c r="H36" s="1237">
        <f>SUM(I36:J36)</f>
        <v>0</v>
      </c>
      <c r="I36" s="1237">
        <f>SUM(I15,I28,I32,I35)</f>
        <v>0</v>
      </c>
      <c r="J36" s="1226"/>
      <c r="K36" s="1235"/>
      <c r="W36" s="1156">
        <v>11</v>
      </c>
    </row>
    <row customHeight="1" ht="29.25">
      <c r="F37" s="1232" t="s">
        <v>1073</v>
      </c>
      <c r="G37" s="2423" t="s">
        <v>1074</v>
      </c>
      <c r="H37" s="2423"/>
      <c r="I37" s="2423"/>
      <c r="J37" s="2423"/>
      <c r="K37" s="1235"/>
      <c r="W37" s="1156">
        <v>28</v>
      </c>
    </row>
    <row customHeight="1" ht="24">
      <c r="F38" s="1231" t="s">
        <v>118</v>
      </c>
      <c r="G38" s="691" t="s">
        <v>1075</v>
      </c>
      <c r="H38" s="1237">
        <f>SUM(I38:J38)</f>
        <v>0</v>
      </c>
      <c r="I38" s="1237">
        <f>SUM(I39,I44,I47)</f>
        <v>0</v>
      </c>
      <c r="J38" s="1226"/>
      <c r="K38" s="1235"/>
      <c r="W38" s="1156">
        <v>23</v>
      </c>
    </row>
    <row customHeight="1" ht="11.549999999999999">
      <c r="F39" s="1231" t="s">
        <v>1040</v>
      </c>
      <c r="G39" s="1238" t="s">
        <v>1039</v>
      </c>
      <c r="H39" s="1237">
        <f>SUM(I39:J39)</f>
        <v>0</v>
      </c>
      <c r="I39" s="1237">
        <f>SUM(I40:I43)</f>
        <v>0</v>
      </c>
      <c r="J39" s="1226"/>
      <c r="K39" s="1235"/>
      <c r="W39" s="1156">
        <v>11</v>
      </c>
    </row>
    <row customHeight="1" ht="24">
      <c r="F40" s="1231" t="s">
        <v>1076</v>
      </c>
      <c r="G40" s="1239" t="s">
        <v>1077</v>
      </c>
      <c r="H40" s="1237">
        <f>SUM(I40:J40)</f>
        <v>0</v>
      </c>
      <c r="I40" s="1236"/>
      <c r="J40" s="1226"/>
      <c r="K40" s="1235"/>
      <c r="W40" s="1156">
        <v>23</v>
      </c>
    </row>
    <row customHeight="1" ht="11.549999999999999">
      <c r="F41" s="1231" t="s">
        <v>1078</v>
      </c>
      <c r="G41" s="1239" t="s">
        <v>1079</v>
      </c>
      <c r="H41" s="1237">
        <f>SUM(I41:J41)</f>
        <v>0</v>
      </c>
      <c r="I41" s="1236"/>
      <c r="J41" s="1226"/>
      <c r="K41" s="1235"/>
      <c r="W41" s="1156">
        <v>11</v>
      </c>
    </row>
    <row customHeight="1" ht="11.549999999999999">
      <c r="F42" s="1231" t="s">
        <v>1080</v>
      </c>
      <c r="G42" s="1239" t="s">
        <v>1081</v>
      </c>
      <c r="H42" s="1237">
        <f>SUM(I42:J42)</f>
        <v>0</v>
      </c>
      <c r="I42" s="1236"/>
      <c r="J42" s="1226"/>
      <c r="K42" s="1235"/>
      <c r="W42" s="1156">
        <v>11</v>
      </c>
    </row>
    <row customHeight="1" ht="35.699999999999996">
      <c r="F43" s="1231" t="s">
        <v>1082</v>
      </c>
      <c r="G43" s="1239" t="s">
        <v>1083</v>
      </c>
      <c r="H43" s="1237">
        <f>SUM(I43:J43)</f>
        <v>0</v>
      </c>
      <c r="I43" s="1236"/>
      <c r="J43" s="1226"/>
      <c r="K43" s="1235"/>
      <c r="W43" s="1156">
        <v>34</v>
      </c>
    </row>
    <row customHeight="1" ht="11.549999999999999">
      <c r="F44" s="1231" t="s">
        <v>1042</v>
      </c>
      <c r="G44" s="1238" t="s">
        <v>1068</v>
      </c>
      <c r="H44" s="1237">
        <f>SUM(I44:J44)</f>
        <v>0</v>
      </c>
      <c r="I44" s="1237">
        <f>SUM(I45:I46)</f>
        <v>0</v>
      </c>
      <c r="J44" s="1226"/>
      <c r="K44" s="1235"/>
      <c r="W44" s="1156">
        <v>11</v>
      </c>
    </row>
    <row customHeight="1" ht="48.29999999999999">
      <c r="F45" s="1231" t="s">
        <v>1084</v>
      </c>
      <c r="G45" s="1239" t="s">
        <v>1069</v>
      </c>
      <c r="H45" s="1237">
        <f>SUM(I45:J45)</f>
        <v>0</v>
      </c>
      <c r="I45" s="1236"/>
      <c r="J45" s="1226"/>
      <c r="K45" s="1235"/>
      <c r="W45" s="1156">
        <v>46</v>
      </c>
    </row>
    <row customHeight="1" ht="11.549999999999999">
      <c r="F46" s="1231" t="s">
        <v>1085</v>
      </c>
      <c r="G46" s="1239" t="s">
        <v>1070</v>
      </c>
      <c r="H46" s="1237">
        <f>SUM(I46:J46)</f>
        <v>0</v>
      </c>
      <c r="I46" s="1236"/>
      <c r="J46" s="1226"/>
      <c r="K46" s="1235"/>
      <c r="W46" s="1156">
        <v>11</v>
      </c>
    </row>
    <row customHeight="1" ht="11.549999999999999">
      <c r="F47" s="1231" t="s">
        <v>1044</v>
      </c>
      <c r="G47" s="1238" t="s">
        <v>1086</v>
      </c>
      <c r="H47" s="1237">
        <f>SUM(I47:J47)</f>
        <v>0</v>
      </c>
      <c r="I47" s="1236"/>
      <c r="J47" s="1226"/>
      <c r="K47" s="1235"/>
      <c r="W47" s="1156">
        <v>11</v>
      </c>
    </row>
    <row customHeight="1" ht="24">
      <c r="F48" s="1231" t="s">
        <v>103</v>
      </c>
      <c r="G48" s="691" t="s">
        <v>1087</v>
      </c>
      <c r="H48" s="1237">
        <f>SUM(I48:J48)</f>
        <v>0</v>
      </c>
      <c r="I48" s="1237">
        <f>SUM(I49,I54,I57)</f>
        <v>0</v>
      </c>
      <c r="J48" s="1226"/>
      <c r="K48" s="1235"/>
      <c r="W48" s="1156">
        <v>23</v>
      </c>
    </row>
    <row customHeight="1" ht="11.549999999999999">
      <c r="F49" s="1231" t="s">
        <v>727</v>
      </c>
      <c r="G49" s="1238" t="s">
        <v>1039</v>
      </c>
      <c r="H49" s="1237">
        <f>SUM(I49:J49)</f>
        <v>0</v>
      </c>
      <c r="I49" s="1237">
        <f>SUM(I50:I53)</f>
        <v>0</v>
      </c>
      <c r="J49" s="1226"/>
      <c r="K49" s="1235"/>
      <c r="W49" s="1156">
        <v>11</v>
      </c>
    </row>
    <row customHeight="1" ht="24">
      <c r="F50" s="1231" t="s">
        <v>730</v>
      </c>
      <c r="G50" s="1239" t="s">
        <v>1077</v>
      </c>
      <c r="H50" s="1237">
        <f>SUM(I50:J50)</f>
        <v>0</v>
      </c>
      <c r="I50" s="1236"/>
      <c r="J50" s="1226"/>
      <c r="K50" s="1235"/>
      <c r="W50" s="1156">
        <v>23</v>
      </c>
    </row>
    <row customHeight="1" ht="11.549999999999999">
      <c r="F51" s="1231" t="s">
        <v>733</v>
      </c>
      <c r="G51" s="1239" t="s">
        <v>1079</v>
      </c>
      <c r="H51" s="1237">
        <f>SUM(I51:J51)</f>
        <v>0</v>
      </c>
      <c r="I51" s="1236"/>
      <c r="J51" s="1226"/>
      <c r="K51" s="1235"/>
      <c r="W51" s="1156">
        <v>11</v>
      </c>
    </row>
    <row customHeight="1" ht="11.549999999999999">
      <c r="F52" s="1231" t="s">
        <v>1088</v>
      </c>
      <c r="G52" s="1239" t="s">
        <v>1081</v>
      </c>
      <c r="H52" s="1237">
        <f>SUM(I52:J52)</f>
        <v>0</v>
      </c>
      <c r="I52" s="1236"/>
      <c r="J52" s="1226"/>
      <c r="K52" s="1235"/>
      <c r="W52" s="1156">
        <v>11</v>
      </c>
    </row>
    <row customHeight="1" ht="35.699999999999996">
      <c r="F53" s="1231" t="s">
        <v>1089</v>
      </c>
      <c r="G53" s="1239" t="s">
        <v>1083</v>
      </c>
      <c r="H53" s="1237">
        <f>SUM(I53:J53)</f>
        <v>0</v>
      </c>
      <c r="I53" s="1236"/>
      <c r="J53" s="1226"/>
      <c r="K53" s="1235"/>
      <c r="W53" s="1156">
        <v>34</v>
      </c>
    </row>
    <row customHeight="1" ht="11.549999999999999">
      <c r="F54" s="1231" t="s">
        <v>324</v>
      </c>
      <c r="G54" s="1238" t="s">
        <v>1068</v>
      </c>
      <c r="H54" s="1237">
        <f>SUM(I54:J54)</f>
        <v>0</v>
      </c>
      <c r="I54" s="1237">
        <f>SUM(I55:I56)</f>
        <v>0</v>
      </c>
      <c r="J54" s="1226"/>
      <c r="K54" s="1235"/>
      <c r="W54" s="1156">
        <v>11</v>
      </c>
    </row>
    <row customHeight="1" ht="48.29999999999999">
      <c r="F55" s="1231" t="s">
        <v>737</v>
      </c>
      <c r="G55" s="1239" t="s">
        <v>1069</v>
      </c>
      <c r="H55" s="1237">
        <f>SUM(I55:J55)</f>
        <v>0</v>
      </c>
      <c r="I55" s="1236"/>
      <c r="J55" s="1226"/>
      <c r="K55" s="1235"/>
      <c r="W55" s="1156">
        <v>46</v>
      </c>
    </row>
    <row customHeight="1" ht="11.549999999999999">
      <c r="F56" s="1231" t="s">
        <v>739</v>
      </c>
      <c r="G56" s="1239" t="s">
        <v>1070</v>
      </c>
      <c r="H56" s="1237">
        <f>SUM(I56:J56)</f>
        <v>0</v>
      </c>
      <c r="I56" s="1236"/>
      <c r="J56" s="1226"/>
      <c r="K56" s="1235"/>
      <c r="W56" s="1156">
        <v>11</v>
      </c>
    </row>
    <row customHeight="1" ht="11.549999999999999">
      <c r="F57" s="1231" t="s">
        <v>327</v>
      </c>
      <c r="G57" s="1238" t="s">
        <v>1086</v>
      </c>
      <c r="H57" s="1237">
        <f>SUM(I57:J57)</f>
        <v>0</v>
      </c>
      <c r="I57" s="1236"/>
      <c r="J57" s="1226"/>
      <c r="K57" s="1235"/>
      <c r="W57" s="1156">
        <v>11</v>
      </c>
    </row>
    <row customHeight="1" ht="11.549999999999999">
      <c r="F58" s="1231"/>
      <c r="G58" s="1240" t="s">
        <v>1072</v>
      </c>
      <c r="H58" s="1237">
        <f>SUM(I58:J58)</f>
        <v>0</v>
      </c>
      <c r="I58" s="1237">
        <f>SUM(I38,I48)</f>
        <v>0</v>
      </c>
      <c r="J58" s="1226"/>
      <c r="K58" s="1235"/>
      <c r="W58" s="1156">
        <v>11</v>
      </c>
    </row>
    <row customHeight="1" ht="10.5" hidden="1">
      <c r="A59" s="1167" t="s">
        <v>83</v>
      </c>
      <c r="B59" s="1167">
        <v>0</v>
      </c>
      <c r="C59" s="1167">
        <v>0</v>
      </c>
      <c r="D59" s="1161">
        <v>0</v>
      </c>
      <c r="E59" s="510">
        <v>3</v>
      </c>
      <c r="F59" s="1156">
        <v>6</v>
      </c>
      <c r="G59" s="1156">
        <v>60</v>
      </c>
      <c r="H59" s="1156">
        <v>0</v>
      </c>
      <c r="I59" s="1156">
        <v>0</v>
      </c>
      <c r="J59" s="1156">
        <v>0</v>
      </c>
      <c r="K59" s="1156">
        <v>1</v>
      </c>
      <c r="L59" s="1156">
        <v>8</v>
      </c>
      <c r="M59" s="1156">
        <v>8</v>
      </c>
      <c r="N59" s="1156">
        <v>8</v>
      </c>
      <c r="O59" s="1156">
        <v>8</v>
      </c>
      <c r="P59" s="1156">
        <v>8</v>
      </c>
      <c r="Q59" s="1156">
        <v>8</v>
      </c>
      <c r="R59" s="1156">
        <v>8</v>
      </c>
      <c r="S59" s="1156">
        <v>8</v>
      </c>
      <c r="T59" s="1156">
        <v>8</v>
      </c>
      <c r="U59" s="1156">
        <v>8</v>
      </c>
      <c r="V59" s="1156">
        <v>8</v>
      </c>
      <c r="W59" s="1156">
        <v>10</v>
      </c>
    </row>
  </sheetData>
  <sheetProtection formatColumns="0" formatRows="0" autoFilter="0" sort="0" insertRows="0" insertColumns="1" deleteRows="0" deleteColumns="0"/>
  <mergeCells count="9">
    <mergeCell ref="F5:J5"/>
    <mergeCell ref="F6:J6"/>
    <mergeCell ref="F9:J9"/>
    <mergeCell ref="G14:J14"/>
    <mergeCell ref="G37:J37"/>
    <mergeCell ref="F10:F12"/>
    <mergeCell ref="H10:J10"/>
    <mergeCell ref="H11:J11"/>
    <mergeCell ref="G10:G12"/>
  </mergeCells>
  <dataValidations count="1">
    <dataValidation type="decimal" allowBlank="1" showErrorMessage="1" errorTitle="Ошибка" error="Допускается ввод только неотрицательных чисел!" sqref="I29:I31 I33:I35 I40:I43 I45:I47 I50:I53 I55:I57 I16:I27">
      <formula1>0</formula1>
      <formula2>9.99999999999999E+23</formula2>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CF67818F-CFEB-40BE-7219-8C77555613B8}" mc:Ignorable="x14ac xr xr2 xr3">
  <sheetPr>
    <tabColor theme="9" tint="-0.25"/>
  </sheetPr>
  <dimension ref="A1:GC25"/>
  <sheetViews>
    <sheetView showGridLines="0" zoomScale="90" workbookViewId="0">
      <pane xSplit="14" ySplit="17" topLeftCell="O18" activePane="bottomRight" state="frozen"/>
      <selection pane="bottomLeft" activeCell="A18" sqref="A18"/>
      <selection pane="topRight" activeCell="O1" sqref="O1"/>
      <selection pane="bottomRight" activeCell="A1" sqref="A1"/>
    </sheetView>
  </sheetViews>
  <sheetFormatPr defaultColWidth="9.140625" customHeight="1" defaultRowHeight="12"/>
  <cols>
    <col min="1" max="1" style="1064" width="4.7109375" hidden="1" customWidth="1"/>
    <col min="2" max="2" style="937" width="4.7109375" hidden="1" customWidth="1"/>
    <col min="3" max="4" style="1064" width="4.7109375" hidden="1" customWidth="1"/>
    <col min="5" max="5" style="1064" width="3.00390625" customWidth="1"/>
    <col min="6" max="6" style="1064" width="6.00390625" customWidth="1"/>
    <col min="7" max="7" style="1064" width="18.00390625" customWidth="1"/>
    <col min="8" max="8" style="1064" width="27.00390625" customWidth="1"/>
    <col min="9" max="9" style="1064" width="18.00390625" customWidth="1"/>
    <col min="10" max="14" style="1064" width="0.8515625" hidden="1" customWidth="1"/>
    <col min="15" max="28" style="1064" width="21.7109375" customWidth="1"/>
    <col min="29" max="71" style="1064" width="0.8515625" customWidth="1"/>
    <col min="72" max="79" style="1064" width="21.7109375" hidden="1" customWidth="1"/>
    <col min="80" max="81" style="1064" width="29.140625" hidden="1" customWidth="1"/>
    <col min="82" max="89" style="1064" width="21.7109375" hidden="1" customWidth="1"/>
    <col min="90" max="102" style="1064" width="0.7109375" hidden="1" customWidth="1"/>
    <col min="103" max="114" style="1064" width="21.7109375" hidden="1" customWidth="1"/>
    <col min="115" max="178" style="1064" width="0.7109375" hidden="1" customWidth="1"/>
    <col min="179" max="179" style="1064" width="0.140625" customWidth="1"/>
    <col min="180" max="184" style="1064" width="8.00390625" customWidth="1"/>
    <col min="185" max="185" style="1064" width="9.140625" hidden="1"/>
  </cols>
  <sheetData>
    <row s="926" customFormat="1" customHeight="1" ht="12" hidden="1">
      <c r="B1" s="924"/>
      <c r="C1" s="925"/>
      <c r="D1" s="925"/>
      <c r="GC1" s="923" t="s">
        <v>14</v>
      </c>
    </row>
    <row s="926" customFormat="1" customHeight="1" ht="12" hidden="1">
      <c r="B2" s="924"/>
      <c r="C2" s="925"/>
      <c r="D2" s="925"/>
      <c r="E2" s="925"/>
      <c r="F2" s="925"/>
      <c r="G2" s="925"/>
      <c r="H2" s="925"/>
      <c r="I2" s="925"/>
      <c r="J2" s="925"/>
      <c r="K2" s="925"/>
      <c r="L2" s="925"/>
      <c r="M2" s="925"/>
      <c r="N2" s="925"/>
      <c r="O2" s="925"/>
      <c r="P2" s="925"/>
      <c r="Q2" s="925"/>
      <c r="R2" s="925"/>
      <c r="S2" s="925"/>
      <c r="T2" s="925"/>
      <c r="U2" s="925"/>
      <c r="V2" s="925"/>
      <c r="W2" s="925"/>
      <c r="X2" s="925"/>
      <c r="Y2" s="925"/>
      <c r="Z2" s="925"/>
      <c r="AA2" s="925"/>
      <c r="AB2" s="926"/>
      <c r="AC2" s="925"/>
      <c r="AD2" s="925"/>
      <c r="AE2" s="925"/>
      <c r="AF2" s="925"/>
      <c r="AG2" s="925"/>
      <c r="AH2" s="925"/>
      <c r="AI2" s="925"/>
      <c r="AJ2" s="925"/>
      <c r="AK2" s="925"/>
      <c r="AL2" s="925"/>
      <c r="AM2" s="925"/>
      <c r="AN2" s="925"/>
      <c r="AO2" s="925"/>
      <c r="AP2" s="925"/>
      <c r="AQ2" s="925"/>
      <c r="AR2" s="925"/>
      <c r="AS2" s="925"/>
      <c r="AT2" s="925"/>
      <c r="AU2" s="925"/>
      <c r="AV2" s="925"/>
      <c r="AW2" s="925"/>
      <c r="AX2" s="925"/>
      <c r="AY2" s="925"/>
      <c r="AZ2" s="925"/>
      <c r="BA2" s="925"/>
      <c r="BB2" s="925"/>
      <c r="BC2" s="925"/>
      <c r="BD2" s="925"/>
      <c r="BE2" s="925"/>
      <c r="BF2" s="925"/>
      <c r="BG2" s="925"/>
      <c r="BH2" s="925"/>
      <c r="BI2" s="925"/>
      <c r="BJ2" s="925"/>
      <c r="BK2" s="925"/>
      <c r="BL2" s="925"/>
      <c r="BM2" s="925"/>
      <c r="BN2" s="925"/>
      <c r="BO2" s="925"/>
      <c r="BP2" s="925"/>
      <c r="BQ2" s="925"/>
      <c r="BR2" s="925"/>
      <c r="BS2" s="925"/>
      <c r="BT2" s="925"/>
      <c r="BU2" s="925"/>
      <c r="BV2" s="925"/>
      <c r="BW2" s="925"/>
      <c r="BX2" s="925"/>
      <c r="BY2" s="925"/>
      <c r="BZ2" s="925"/>
      <c r="CA2" s="925"/>
      <c r="CB2" s="925"/>
      <c r="CC2" s="925"/>
      <c r="CD2" s="925"/>
      <c r="CE2" s="925"/>
      <c r="CF2" s="925"/>
      <c r="CG2" s="925"/>
      <c r="CH2" s="925"/>
      <c r="CI2" s="925"/>
      <c r="CJ2" s="925"/>
      <c r="CK2" s="925"/>
      <c r="CL2" s="925"/>
      <c r="CM2" s="925"/>
      <c r="CN2" s="925"/>
      <c r="CO2" s="925"/>
      <c r="CP2" s="925"/>
      <c r="CQ2" s="925"/>
      <c r="CR2" s="925"/>
      <c r="CS2" s="925"/>
      <c r="CT2" s="925"/>
      <c r="CU2" s="925"/>
      <c r="CV2" s="925"/>
      <c r="CW2" s="925"/>
      <c r="CX2" s="925"/>
      <c r="CY2" s="925"/>
      <c r="CZ2" s="925"/>
      <c r="DA2" s="925"/>
      <c r="DB2" s="925"/>
      <c r="DC2" s="925"/>
      <c r="DD2" s="925"/>
      <c r="DE2" s="925"/>
      <c r="DF2" s="925"/>
      <c r="DG2" s="925"/>
      <c r="DH2" s="925"/>
      <c r="DI2" s="925"/>
      <c r="DJ2" s="925"/>
      <c r="DK2" s="925"/>
      <c r="DL2" s="925"/>
      <c r="DM2" s="925"/>
      <c r="DN2" s="925"/>
      <c r="DO2" s="925"/>
      <c r="DP2" s="925"/>
      <c r="DQ2" s="925"/>
      <c r="DR2" s="925"/>
      <c r="DS2" s="925"/>
      <c r="DT2" s="925"/>
      <c r="DU2" s="925"/>
      <c r="DV2" s="925"/>
      <c r="DW2" s="925"/>
      <c r="DX2" s="925"/>
      <c r="DY2" s="925"/>
      <c r="DZ2" s="925"/>
      <c r="EA2" s="925"/>
      <c r="EB2" s="925"/>
      <c r="EC2" s="925"/>
      <c r="ED2" s="925"/>
      <c r="EE2" s="925"/>
      <c r="EF2" s="925"/>
      <c r="EG2" s="925"/>
      <c r="EH2" s="925"/>
      <c r="EI2" s="925"/>
      <c r="EJ2" s="925"/>
      <c r="EK2" s="925"/>
      <c r="EL2" s="925"/>
      <c r="EM2" s="925"/>
      <c r="EN2" s="925"/>
      <c r="EO2" s="925"/>
      <c r="EP2" s="925"/>
      <c r="EQ2" s="925"/>
      <c r="ER2" s="925"/>
      <c r="ES2" s="925"/>
      <c r="ET2" s="925"/>
      <c r="EU2" s="925"/>
      <c r="EV2" s="925"/>
      <c r="EW2" s="925"/>
      <c r="EX2" s="925"/>
      <c r="EY2" s="925"/>
      <c r="EZ2" s="925"/>
      <c r="FA2" s="925"/>
      <c r="FB2" s="925"/>
      <c r="FC2" s="925"/>
      <c r="FD2" s="925"/>
      <c r="FE2" s="925"/>
      <c r="FF2" s="925"/>
      <c r="FG2" s="925"/>
      <c r="FH2" s="925"/>
      <c r="FI2" s="925"/>
      <c r="FJ2" s="925"/>
      <c r="FK2" s="925"/>
      <c r="FL2" s="925"/>
      <c r="FM2" s="925"/>
      <c r="FN2" s="925"/>
      <c r="FO2" s="925"/>
      <c r="FP2" s="925"/>
      <c r="FQ2" s="925"/>
      <c r="FR2" s="925"/>
      <c r="FS2" s="925"/>
      <c r="FT2" s="925"/>
      <c r="FU2" s="925"/>
      <c r="FV2" s="925"/>
      <c r="FW2" s="925"/>
      <c r="GC2" s="923">
        <v>0</v>
      </c>
    </row>
    <row s="926" customFormat="1" customHeight="1" ht="12" hidden="1">
      <c r="B3" s="924"/>
      <c r="C3" s="925"/>
      <c r="D3" s="925"/>
      <c r="E3" s="925"/>
      <c r="F3" s="925"/>
      <c r="G3" s="925"/>
      <c r="H3" s="925"/>
      <c r="I3" s="925"/>
      <c r="J3" s="925"/>
      <c r="K3" s="925"/>
      <c r="L3" s="925"/>
      <c r="M3" s="925"/>
      <c r="N3" s="925"/>
      <c r="O3" s="925"/>
      <c r="P3" s="925"/>
      <c r="Q3" s="925"/>
      <c r="R3" s="925"/>
      <c r="S3" s="925"/>
      <c r="T3" s="925"/>
      <c r="U3" s="925"/>
      <c r="V3" s="925"/>
      <c r="W3" s="925"/>
      <c r="X3" s="925"/>
      <c r="Y3" s="925"/>
      <c r="Z3" s="925"/>
      <c r="AA3" s="925"/>
      <c r="AB3" s="926"/>
      <c r="AC3" s="925"/>
      <c r="AD3" s="925"/>
      <c r="AE3" s="925"/>
      <c r="AF3" s="925"/>
      <c r="AG3" s="925"/>
      <c r="AH3" s="925"/>
      <c r="AI3" s="925"/>
      <c r="AJ3" s="925"/>
      <c r="AK3" s="925"/>
      <c r="AL3" s="925"/>
      <c r="AM3" s="925"/>
      <c r="AN3" s="925"/>
      <c r="AO3" s="925"/>
      <c r="AP3" s="925"/>
      <c r="AQ3" s="925"/>
      <c r="AR3" s="925"/>
      <c r="AS3" s="925"/>
      <c r="AT3" s="925"/>
      <c r="AU3" s="925"/>
      <c r="AV3" s="925"/>
      <c r="AW3" s="925"/>
      <c r="AX3" s="925"/>
      <c r="AY3" s="925"/>
      <c r="AZ3" s="925"/>
      <c r="BA3" s="925"/>
      <c r="BB3" s="925"/>
      <c r="BC3" s="925"/>
      <c r="BD3" s="925"/>
      <c r="BE3" s="925"/>
      <c r="BF3" s="925"/>
      <c r="BG3" s="925"/>
      <c r="BH3" s="925"/>
      <c r="BI3" s="925"/>
      <c r="BJ3" s="925"/>
      <c r="BK3" s="925"/>
      <c r="BL3" s="925"/>
      <c r="BM3" s="925"/>
      <c r="BN3" s="925"/>
      <c r="BO3" s="925"/>
      <c r="BP3" s="925"/>
      <c r="BQ3" s="925"/>
      <c r="BR3" s="925"/>
      <c r="BS3" s="925"/>
      <c r="BT3" s="925"/>
      <c r="BU3" s="925"/>
      <c r="BV3" s="925"/>
      <c r="BW3" s="925"/>
      <c r="BX3" s="925"/>
      <c r="BY3" s="925"/>
      <c r="BZ3" s="925"/>
      <c r="CA3" s="925"/>
      <c r="CB3" s="925"/>
      <c r="CC3" s="925"/>
      <c r="CD3" s="925"/>
      <c r="CE3" s="925"/>
      <c r="CF3" s="925"/>
      <c r="CG3" s="925"/>
      <c r="CH3" s="925"/>
      <c r="CI3" s="925"/>
      <c r="CJ3" s="925"/>
      <c r="CK3" s="925"/>
      <c r="CL3" s="925"/>
      <c r="CM3" s="925"/>
      <c r="CN3" s="925"/>
      <c r="CO3" s="925"/>
      <c r="CP3" s="925"/>
      <c r="CQ3" s="925"/>
      <c r="CR3" s="925"/>
      <c r="CS3" s="925"/>
      <c r="CT3" s="925"/>
      <c r="CU3" s="925"/>
      <c r="CV3" s="925"/>
      <c r="CW3" s="925"/>
      <c r="CX3" s="925"/>
      <c r="CY3" s="925"/>
      <c r="CZ3" s="925"/>
      <c r="DA3" s="925"/>
      <c r="DB3" s="925"/>
      <c r="DC3" s="925"/>
      <c r="DD3" s="925"/>
      <c r="DE3" s="925"/>
      <c r="DF3" s="925"/>
      <c r="DG3" s="925"/>
      <c r="DH3" s="925"/>
      <c r="DI3" s="925"/>
      <c r="DJ3" s="925"/>
      <c r="DK3" s="925"/>
      <c r="DL3" s="925"/>
      <c r="DM3" s="925"/>
      <c r="DN3" s="925"/>
      <c r="DO3" s="925"/>
      <c r="DP3" s="925"/>
      <c r="DQ3" s="925"/>
      <c r="DR3" s="925"/>
      <c r="DS3" s="925"/>
      <c r="DT3" s="925"/>
      <c r="DU3" s="925"/>
      <c r="DV3" s="925"/>
      <c r="DW3" s="925"/>
      <c r="DX3" s="925"/>
      <c r="DY3" s="925"/>
      <c r="DZ3" s="925"/>
      <c r="EA3" s="925"/>
      <c r="EB3" s="925"/>
      <c r="EC3" s="925"/>
      <c r="ED3" s="925"/>
      <c r="EE3" s="925"/>
      <c r="EF3" s="925"/>
      <c r="EG3" s="925"/>
      <c r="EH3" s="925"/>
      <c r="EI3" s="925"/>
      <c r="EJ3" s="925"/>
      <c r="EK3" s="925"/>
      <c r="EL3" s="925"/>
      <c r="EM3" s="925"/>
      <c r="EN3" s="925"/>
      <c r="EO3" s="925"/>
      <c r="EP3" s="925"/>
      <c r="EQ3" s="925"/>
      <c r="ER3" s="925"/>
      <c r="ES3" s="925"/>
      <c r="ET3" s="925"/>
      <c r="EU3" s="925"/>
      <c r="EV3" s="925"/>
      <c r="EW3" s="925"/>
      <c r="EX3" s="925"/>
      <c r="EY3" s="925"/>
      <c r="EZ3" s="925"/>
      <c r="FA3" s="925"/>
      <c r="FB3" s="925"/>
      <c r="FC3" s="925"/>
      <c r="FD3" s="925"/>
      <c r="FE3" s="925"/>
      <c r="FF3" s="925"/>
      <c r="FG3" s="925"/>
      <c r="FH3" s="925"/>
      <c r="FI3" s="925"/>
      <c r="FJ3" s="925"/>
      <c r="FK3" s="925"/>
      <c r="FL3" s="925"/>
      <c r="FM3" s="925"/>
      <c r="FN3" s="925"/>
      <c r="FO3" s="925"/>
      <c r="FP3" s="925"/>
      <c r="FQ3" s="925"/>
      <c r="FR3" s="925"/>
      <c r="FS3" s="925"/>
      <c r="FT3" s="925"/>
      <c r="FU3" s="925"/>
      <c r="FV3" s="925"/>
      <c r="FW3" s="925"/>
      <c r="GC3" s="923">
        <v>0</v>
      </c>
    </row>
    <row customHeight="1" ht="10.5">
      <c r="B4" s="928"/>
      <c r="C4" s="929"/>
      <c r="D4" s="929"/>
      <c r="E4" s="929"/>
      <c r="F4" s="929"/>
      <c r="G4" s="929"/>
      <c r="H4" s="930"/>
      <c r="I4" s="930"/>
      <c r="J4" s="930"/>
      <c r="K4" s="930"/>
      <c r="L4" s="930"/>
      <c r="M4" s="931"/>
      <c r="N4" s="931"/>
      <c r="O4" s="931"/>
      <c r="P4" s="931"/>
      <c r="Q4" s="931"/>
      <c r="R4" s="931"/>
      <c r="S4" s="931"/>
      <c r="T4" s="931"/>
      <c r="U4" s="931"/>
      <c r="V4" s="931"/>
      <c r="W4" s="931"/>
      <c r="X4" s="931"/>
      <c r="Y4" s="931"/>
      <c r="Z4" s="931"/>
      <c r="AA4" s="931"/>
      <c r="AB4" s="931"/>
      <c r="AC4" s="931"/>
      <c r="AD4" s="931"/>
      <c r="AE4" s="931"/>
      <c r="AF4" s="931"/>
      <c r="AG4" s="931"/>
      <c r="AH4" s="931"/>
      <c r="AI4" s="931"/>
      <c r="AJ4" s="931"/>
      <c r="AK4" s="931"/>
      <c r="AL4" s="931"/>
      <c r="AM4" s="931"/>
      <c r="AN4" s="931"/>
      <c r="AO4" s="931"/>
      <c r="AP4" s="931"/>
      <c r="AQ4" s="931"/>
      <c r="AR4" s="931"/>
      <c r="AS4" s="931"/>
      <c r="AT4" s="931"/>
      <c r="AU4" s="931"/>
      <c r="AV4" s="931"/>
      <c r="AW4" s="931"/>
      <c r="AX4" s="931"/>
      <c r="AY4" s="931"/>
      <c r="AZ4" s="931"/>
      <c r="BA4" s="931"/>
      <c r="BB4" s="931"/>
      <c r="BC4" s="931"/>
      <c r="BD4" s="931"/>
      <c r="BE4" s="931"/>
      <c r="BF4" s="931"/>
      <c r="BG4" s="931"/>
      <c r="BH4" s="931"/>
      <c r="BI4" s="931"/>
      <c r="BJ4" s="931"/>
      <c r="BK4" s="931"/>
      <c r="BL4" s="931"/>
      <c r="BM4" s="931"/>
      <c r="BN4" s="931"/>
      <c r="BO4" s="931"/>
      <c r="BP4" s="931"/>
      <c r="BQ4" s="931"/>
      <c r="BR4" s="931"/>
      <c r="BS4" s="931"/>
      <c r="BT4" s="931"/>
      <c r="BU4" s="931"/>
      <c r="BV4" s="931"/>
      <c r="BW4" s="931"/>
      <c r="BX4" s="931"/>
      <c r="BY4" s="931"/>
      <c r="BZ4" s="931"/>
      <c r="CA4" s="931"/>
      <c r="CB4" s="931"/>
      <c r="CC4" s="931"/>
      <c r="CD4" s="931"/>
      <c r="CE4" s="931"/>
      <c r="CF4" s="931"/>
      <c r="CG4" s="931"/>
      <c r="CH4" s="931"/>
      <c r="CI4" s="931"/>
      <c r="CJ4" s="931"/>
      <c r="CK4" s="931"/>
      <c r="CL4" s="931"/>
      <c r="CM4" s="931"/>
      <c r="CN4" s="931"/>
      <c r="CO4" s="931"/>
      <c r="CP4" s="931"/>
      <c r="CQ4" s="931"/>
      <c r="CR4" s="931"/>
      <c r="CS4" s="931"/>
      <c r="CT4" s="931"/>
      <c r="CU4" s="931"/>
      <c r="CV4" s="931"/>
      <c r="CW4" s="931"/>
      <c r="CX4" s="931"/>
      <c r="CY4" s="931"/>
      <c r="CZ4" s="931"/>
      <c r="DA4" s="931"/>
      <c r="DB4" s="931"/>
      <c r="DC4" s="931"/>
      <c r="DD4" s="931"/>
      <c r="DE4" s="931"/>
      <c r="DF4" s="931"/>
      <c r="DG4" s="931"/>
      <c r="DH4" s="931"/>
      <c r="DI4" s="931"/>
      <c r="DJ4" s="931"/>
      <c r="DK4" s="931"/>
      <c r="DL4" s="931"/>
      <c r="DM4" s="931"/>
      <c r="DN4" s="931"/>
      <c r="DO4" s="931"/>
      <c r="DP4" s="931"/>
      <c r="DQ4" s="931"/>
      <c r="DR4" s="931"/>
      <c r="DS4" s="931"/>
      <c r="DT4" s="931"/>
      <c r="DU4" s="931"/>
      <c r="DV4" s="931"/>
      <c r="DW4" s="931"/>
      <c r="DX4" s="931"/>
      <c r="DY4" s="931"/>
      <c r="DZ4" s="931"/>
      <c r="EA4" s="931"/>
      <c r="EB4" s="931"/>
      <c r="EC4" s="931"/>
      <c r="ED4" s="931"/>
      <c r="EE4" s="931"/>
      <c r="EF4" s="931"/>
      <c r="EG4" s="931"/>
      <c r="EH4" s="931"/>
      <c r="EI4" s="931"/>
      <c r="EJ4" s="931"/>
      <c r="EK4" s="931"/>
      <c r="EL4" s="931"/>
      <c r="EM4" s="931"/>
      <c r="EN4" s="931"/>
      <c r="EO4" s="931"/>
      <c r="EP4" s="931"/>
      <c r="EQ4" s="931"/>
      <c r="ER4" s="931"/>
      <c r="ES4" s="931"/>
      <c r="ET4" s="931"/>
      <c r="EU4" s="931"/>
      <c r="EV4" s="931"/>
      <c r="EW4" s="931"/>
      <c r="EX4" s="931"/>
      <c r="EY4" s="931"/>
      <c r="EZ4" s="931"/>
      <c r="FA4" s="931"/>
      <c r="FB4" s="931"/>
      <c r="FC4" s="931"/>
      <c r="FD4" s="931"/>
      <c r="FE4" s="931"/>
      <c r="FF4" s="931"/>
      <c r="FG4" s="931"/>
      <c r="FH4" s="931"/>
      <c r="FI4" s="931"/>
      <c r="FJ4" s="931"/>
      <c r="FK4" s="931"/>
      <c r="FL4" s="931"/>
      <c r="FM4" s="931"/>
      <c r="FN4" s="931"/>
      <c r="FO4" s="931"/>
      <c r="FP4" s="931"/>
      <c r="FQ4" s="931"/>
      <c r="FR4" s="931"/>
      <c r="FS4" s="931"/>
      <c r="FT4" s="931"/>
      <c r="FU4" s="931"/>
      <c r="FV4" s="931"/>
      <c r="FW4" s="931"/>
      <c r="GC4" s="927">
        <v>10</v>
      </c>
    </row>
    <row s="1874" customFormat="1" customHeight="1" ht="27.299999999999997">
      <c r="B5" s="1873"/>
      <c r="E5" s="1875"/>
      <c r="F5" s="2433" t="str">
        <f>IP_NAME_FORM&amp;"
Показатели качества, надежности и энергетической эффективности в сфере "&amp;TEMPLATE_SPHERE_RUS</f>
        <v>Форма 13. Информация об инвестиционных программах регулируемой организации и отчетах об их исполнении, об инвестиционных программах единой теплоснабжающей организации в ценовых зонах теплоснабжения, разрабатываемых и утверждаемых в отношении видов деятельности, при осуществлении которых расчеты за товары (услуги) в сфере теплоснабжения осуществляются по регулируемым ценам (тарифам) в сфере теплоснабжения (за исключением деятельности по подключению (технологическому присоединению) к системе теплоснабжения), об инвестиционных программах теплоснабжающей организации в ценовых зонах теплоснабжения и теплосетевой организации в ценовых зонах теплоснабжения, разрабатываемых и утверждаемых в отношении видов деятельности, при осуществлении которых расчеты за товары (услуги) в сфере теплоснабжения осуществляются по регулируемым ценам (тарифам) в сфере теплоснабжения (за исключением деятельности по подключению (технологическому присоединению) к системе теплоснабжения)
Показатели качества, надежности и энергетической эффективности в сфере теплоснабжения</v>
      </c>
      <c r="G5" s="2170"/>
      <c r="H5" s="2170"/>
      <c r="I5" s="2170"/>
      <c r="J5" s="2170"/>
      <c r="K5" s="2170"/>
      <c r="L5" s="2170"/>
      <c r="M5" s="2170"/>
      <c r="N5" s="2170"/>
      <c r="O5" s="2170"/>
      <c r="P5" s="2170"/>
      <c r="Q5" s="2170"/>
      <c r="R5" s="2170"/>
      <c r="S5" s="2170"/>
      <c r="T5" s="2170"/>
      <c r="U5" s="2170"/>
      <c r="V5" s="2170"/>
      <c r="W5" s="2170"/>
      <c r="X5" s="2170"/>
      <c r="Y5" s="2170"/>
      <c r="Z5" s="2170"/>
      <c r="AA5" s="2170"/>
      <c r="AB5" s="2170"/>
      <c r="AC5" s="2170"/>
      <c r="AD5" s="2170"/>
      <c r="AE5" s="2170"/>
      <c r="AF5" s="2170"/>
      <c r="AG5" s="2170"/>
      <c r="AH5" s="2170"/>
      <c r="AI5" s="2170"/>
      <c r="AJ5" s="2170"/>
      <c r="AK5" s="2170"/>
      <c r="AL5" s="2170"/>
      <c r="AM5" s="2170"/>
      <c r="AN5" s="2170"/>
      <c r="AO5" s="2170"/>
      <c r="AP5" s="2170"/>
      <c r="AQ5" s="2170"/>
      <c r="AR5" s="2170"/>
      <c r="AS5" s="2170"/>
      <c r="AT5" s="2170"/>
      <c r="AU5" s="2170"/>
      <c r="AV5" s="2170"/>
      <c r="AW5" s="2170"/>
      <c r="AX5" s="2170"/>
      <c r="AY5" s="2170"/>
      <c r="AZ5" s="2170"/>
      <c r="BA5" s="2170"/>
      <c r="BB5" s="2170"/>
      <c r="BC5" s="2170"/>
      <c r="BD5" s="2170"/>
      <c r="BE5" s="2170"/>
      <c r="BF5" s="2170"/>
      <c r="BG5" s="2170"/>
      <c r="BH5" s="2170"/>
      <c r="BI5" s="2170"/>
      <c r="BJ5" s="2170"/>
      <c r="BK5" s="2170"/>
      <c r="BL5" s="2170"/>
      <c r="BM5" s="2170"/>
      <c r="BN5" s="2170"/>
      <c r="BO5" s="2170"/>
      <c r="BP5" s="2170"/>
      <c r="BQ5" s="2170"/>
      <c r="BR5" s="2170"/>
      <c r="BS5" s="2170"/>
      <c r="GC5" s="1874">
        <v>26</v>
      </c>
    </row>
    <row s="2139" customFormat="1" customHeight="1" ht="18.75">
      <c r="B6" s="944"/>
      <c r="E6" s="946"/>
      <c r="F6" s="2215" t="str">
        <f>IF(org=0,"Не определено",org)</f>
        <v>ПАО "КГК"</v>
      </c>
      <c r="G6" s="2216"/>
      <c r="H6" s="2216"/>
      <c r="I6" s="2216"/>
      <c r="J6" s="2216"/>
      <c r="K6" s="2216"/>
      <c r="L6" s="2216"/>
      <c r="M6" s="2216"/>
      <c r="N6" s="2216"/>
      <c r="O6" s="2216"/>
      <c r="P6" s="2216"/>
      <c r="Q6" s="2216"/>
      <c r="R6" s="2216"/>
      <c r="S6" s="2216"/>
      <c r="T6" s="2216"/>
      <c r="U6" s="2216"/>
      <c r="V6" s="2216"/>
      <c r="W6" s="2216"/>
      <c r="X6" s="2216"/>
      <c r="Y6" s="2216"/>
      <c r="Z6" s="2216"/>
      <c r="AA6" s="2216"/>
      <c r="AB6" s="2216"/>
      <c r="AC6" s="2216"/>
      <c r="AD6" s="2216"/>
      <c r="AE6" s="2216"/>
      <c r="AF6" s="2216"/>
      <c r="AG6" s="2216"/>
      <c r="AH6" s="2216"/>
      <c r="AI6" s="2216"/>
      <c r="AJ6" s="2216"/>
      <c r="AK6" s="2216"/>
      <c r="AL6" s="2216"/>
      <c r="AM6" s="2216"/>
      <c r="AN6" s="2216"/>
      <c r="AO6" s="2216"/>
      <c r="AP6" s="2216"/>
      <c r="AQ6" s="2216"/>
      <c r="AR6" s="2216"/>
      <c r="AS6" s="2216"/>
      <c r="AT6" s="2216"/>
      <c r="AU6" s="2216"/>
      <c r="AV6" s="2216"/>
      <c r="AW6" s="2216"/>
      <c r="AX6" s="2216"/>
      <c r="AY6" s="2216"/>
      <c r="AZ6" s="2216"/>
      <c r="BA6" s="2216"/>
      <c r="BB6" s="2216"/>
      <c r="BC6" s="2216"/>
      <c r="BD6" s="2216"/>
      <c r="BE6" s="2216"/>
      <c r="BF6" s="2216"/>
      <c r="BG6" s="2216"/>
      <c r="BH6" s="2216"/>
      <c r="BI6" s="2216"/>
      <c r="BJ6" s="2216"/>
      <c r="BK6" s="2216"/>
      <c r="BL6" s="2216"/>
      <c r="BM6" s="2216"/>
      <c r="BN6" s="2216"/>
      <c r="BO6" s="2216"/>
      <c r="BP6" s="2216"/>
      <c r="BQ6" s="2216"/>
      <c r="BR6" s="2216"/>
      <c r="BS6" s="2216"/>
      <c r="GC6" s="945">
        <v>18</v>
      </c>
    </row>
    <row s="934" customFormat="1" customHeight="1" ht="10.5">
      <c r="B7" s="933"/>
      <c r="E7" s="934"/>
      <c r="F7" s="934"/>
      <c r="G7" s="936"/>
      <c r="H7" s="930"/>
      <c r="I7" s="930"/>
      <c r="J7" s="930"/>
      <c r="K7" s="930"/>
      <c r="L7" s="930"/>
      <c r="M7" s="934"/>
      <c r="N7" s="934"/>
      <c r="O7" s="934"/>
      <c r="P7" s="934"/>
      <c r="Q7" s="934"/>
      <c r="R7" s="934"/>
      <c r="S7" s="934"/>
      <c r="T7" s="934"/>
      <c r="U7" s="934"/>
      <c r="V7" s="934"/>
      <c r="W7" s="934"/>
      <c r="X7" s="934"/>
      <c r="Y7" s="934"/>
      <c r="Z7" s="934"/>
      <c r="AA7" s="934"/>
      <c r="AB7" s="934"/>
      <c r="AC7" s="934"/>
      <c r="AD7" s="934"/>
      <c r="AE7" s="934"/>
      <c r="AF7" s="934"/>
      <c r="AG7" s="934"/>
      <c r="AH7" s="934"/>
      <c r="AI7" s="934"/>
      <c r="AJ7" s="934"/>
      <c r="AK7" s="934"/>
      <c r="AL7" s="934"/>
      <c r="AM7" s="934"/>
      <c r="AN7" s="934"/>
      <c r="AO7" s="934"/>
      <c r="AP7" s="934"/>
      <c r="AQ7" s="934"/>
      <c r="AR7" s="934"/>
      <c r="AS7" s="934"/>
      <c r="AT7" s="934"/>
      <c r="AU7" s="934"/>
      <c r="AV7" s="934"/>
      <c r="AW7" s="934"/>
      <c r="AX7" s="934"/>
      <c r="AY7" s="934"/>
      <c r="AZ7" s="934"/>
      <c r="BA7" s="934"/>
      <c r="BB7" s="934"/>
      <c r="BC7" s="934"/>
      <c r="BD7" s="934"/>
      <c r="BE7" s="934"/>
      <c r="BF7" s="934"/>
      <c r="BG7" s="934"/>
      <c r="BH7" s="934"/>
      <c r="BI7" s="934"/>
      <c r="BJ7" s="934"/>
      <c r="BK7" s="934"/>
      <c r="BL7" s="934"/>
      <c r="BM7" s="934"/>
      <c r="BN7" s="934"/>
      <c r="BO7" s="934"/>
      <c r="BP7" s="934"/>
      <c r="BQ7" s="934"/>
      <c r="BR7" s="934"/>
      <c r="BS7" s="934"/>
      <c r="BT7" s="934"/>
      <c r="BU7" s="934"/>
      <c r="BV7" s="934"/>
      <c r="BW7" s="934"/>
      <c r="BX7" s="934"/>
      <c r="BY7" s="934"/>
      <c r="BZ7" s="934"/>
      <c r="CA7" s="934"/>
      <c r="CB7" s="934"/>
      <c r="CC7" s="934"/>
      <c r="CD7" s="934"/>
      <c r="CE7" s="934"/>
      <c r="CF7" s="934"/>
      <c r="CG7" s="934"/>
      <c r="CH7" s="934"/>
      <c r="CI7" s="934"/>
      <c r="CJ7" s="934"/>
      <c r="CK7" s="934"/>
      <c r="CL7" s="934"/>
      <c r="CM7" s="934"/>
      <c r="CN7" s="934"/>
      <c r="CO7" s="934"/>
      <c r="CP7" s="934"/>
      <c r="CQ7" s="934"/>
      <c r="CR7" s="934"/>
      <c r="CS7" s="934"/>
      <c r="CT7" s="934"/>
      <c r="CU7" s="934"/>
      <c r="CV7" s="934"/>
      <c r="CW7" s="934"/>
      <c r="CX7" s="934"/>
      <c r="CY7" s="934"/>
      <c r="CZ7" s="934"/>
      <c r="DA7" s="934"/>
      <c r="DB7" s="934"/>
      <c r="DC7" s="934"/>
      <c r="DD7" s="934"/>
      <c r="DE7" s="934"/>
      <c r="DF7" s="934"/>
      <c r="DG7" s="934"/>
      <c r="DH7" s="934"/>
      <c r="DI7" s="934"/>
      <c r="DJ7" s="934"/>
      <c r="DK7" s="934"/>
      <c r="DL7" s="934"/>
      <c r="DM7" s="934"/>
      <c r="DN7" s="934"/>
      <c r="DO7" s="934"/>
      <c r="DP7" s="934"/>
      <c r="DQ7" s="934"/>
      <c r="DR7" s="934"/>
      <c r="DS7" s="934"/>
      <c r="DT7" s="934"/>
      <c r="DU7" s="934"/>
      <c r="DV7" s="934"/>
      <c r="DW7" s="934"/>
      <c r="DX7" s="934"/>
      <c r="DY7" s="934"/>
      <c r="DZ7" s="934"/>
      <c r="EA7" s="934"/>
      <c r="EB7" s="934"/>
      <c r="EC7" s="934"/>
      <c r="ED7" s="934"/>
      <c r="EE7" s="934"/>
      <c r="EF7" s="934"/>
      <c r="EG7" s="934"/>
      <c r="EH7" s="934"/>
      <c r="EI7" s="934"/>
      <c r="EJ7" s="934"/>
      <c r="EK7" s="934"/>
      <c r="EL7" s="934"/>
      <c r="EM7" s="934"/>
      <c r="EN7" s="934"/>
      <c r="EO7" s="934"/>
      <c r="EP7" s="934"/>
      <c r="EQ7" s="934"/>
      <c r="ER7" s="934"/>
      <c r="ES7" s="934"/>
      <c r="ET7" s="934"/>
      <c r="EU7" s="934"/>
      <c r="EV7" s="934"/>
      <c r="EW7" s="934"/>
      <c r="EX7" s="934"/>
      <c r="EY7" s="934"/>
      <c r="EZ7" s="934"/>
      <c r="FA7" s="934"/>
      <c r="FB7" s="934"/>
      <c r="FC7" s="934"/>
      <c r="FD7" s="934"/>
      <c r="FE7" s="934"/>
      <c r="FF7" s="934"/>
      <c r="FG7" s="934"/>
      <c r="FH7" s="934"/>
      <c r="FI7" s="934"/>
      <c r="FJ7" s="934"/>
      <c r="FK7" s="934"/>
      <c r="FL7" s="934"/>
      <c r="FM7" s="934"/>
      <c r="FN7" s="934"/>
      <c r="FO7" s="934"/>
      <c r="FP7" s="934"/>
      <c r="FQ7" s="934"/>
      <c r="FR7" s="934"/>
      <c r="FS7" s="934"/>
      <c r="FT7" s="934"/>
      <c r="FU7" s="934"/>
      <c r="FV7" s="934"/>
      <c r="FW7" s="934"/>
      <c r="GC7" s="932">
        <v>10</v>
      </c>
    </row>
    <row s="934" customFormat="1" customHeight="1" ht="11.25" hidden="1">
      <c r="B8" s="935"/>
      <c r="F8" s="1057"/>
      <c r="G8" s="764"/>
      <c r="H8" s="361"/>
      <c r="I8" s="361"/>
      <c r="J8" s="361"/>
      <c r="K8" s="361"/>
      <c r="L8" s="361"/>
      <c r="M8" s="1057"/>
      <c r="N8" s="1057"/>
      <c r="O8" s="2451" t="s">
        <v>1090</v>
      </c>
      <c r="P8" s="2452"/>
      <c r="Q8" s="2452"/>
      <c r="R8" s="2452"/>
      <c r="S8" s="2452"/>
      <c r="T8" s="2452"/>
      <c r="U8" s="2452"/>
      <c r="V8" s="2452"/>
      <c r="W8" s="2452"/>
      <c r="X8" s="2452"/>
      <c r="Y8" s="2452"/>
      <c r="Z8" s="2452"/>
      <c r="AA8" s="2452"/>
      <c r="AB8" s="2452"/>
      <c r="AC8" s="2452"/>
      <c r="AD8" s="2452"/>
      <c r="AE8" s="2452"/>
      <c r="AF8" s="2452"/>
      <c r="AG8" s="2452"/>
      <c r="AH8" s="2452"/>
      <c r="AI8" s="2452"/>
      <c r="AJ8" s="2452"/>
      <c r="AK8" s="2452"/>
      <c r="AL8" s="2452"/>
      <c r="AM8" s="2452"/>
      <c r="AN8" s="2452"/>
      <c r="AO8" s="2452"/>
      <c r="AP8" s="2452"/>
      <c r="AQ8" s="2452"/>
      <c r="AR8" s="2452"/>
      <c r="AS8" s="2452"/>
      <c r="AT8" s="2452"/>
      <c r="AU8" s="2452"/>
      <c r="AV8" s="2452"/>
      <c r="AW8" s="2452"/>
      <c r="AX8" s="2452"/>
      <c r="AY8" s="2452"/>
      <c r="AZ8" s="2452"/>
      <c r="BA8" s="2452"/>
      <c r="BB8" s="2452"/>
      <c r="BC8" s="2452"/>
      <c r="BD8" s="2452"/>
      <c r="BE8" s="2452"/>
      <c r="BF8" s="2452"/>
      <c r="BG8" s="2452"/>
      <c r="BH8" s="2452"/>
      <c r="BI8" s="2452"/>
      <c r="BJ8" s="2452"/>
      <c r="BK8" s="2452"/>
      <c r="BL8" s="2452"/>
      <c r="BM8" s="2452"/>
      <c r="BN8" s="2452"/>
      <c r="BO8" s="2452"/>
      <c r="BP8" s="2452"/>
      <c r="BQ8" s="2452"/>
      <c r="BR8" s="2452"/>
      <c r="BS8" s="2453"/>
      <c r="BT8" s="2440"/>
      <c r="BU8" s="2441"/>
      <c r="BV8" s="2441"/>
      <c r="BW8" s="2441"/>
      <c r="BX8" s="2441"/>
      <c r="BY8" s="2441"/>
      <c r="BZ8" s="2441"/>
      <c r="CA8" s="2441"/>
      <c r="CB8" s="2441"/>
      <c r="CC8" s="2441"/>
      <c r="CD8" s="2441"/>
      <c r="CE8" s="2441"/>
      <c r="CF8" s="2441"/>
      <c r="CG8" s="2441"/>
      <c r="CH8" s="2441"/>
      <c r="CI8" s="2441"/>
      <c r="CJ8" s="2441"/>
      <c r="CK8" s="2441"/>
      <c r="CL8" s="2441"/>
      <c r="CM8" s="2441"/>
      <c r="CN8" s="2441"/>
      <c r="CO8" s="2441"/>
      <c r="CP8" s="2441"/>
      <c r="CQ8" s="2441"/>
      <c r="CR8" s="2441"/>
      <c r="CS8" s="2441"/>
      <c r="CT8" s="2441"/>
      <c r="CU8" s="2441"/>
      <c r="CV8" s="2441"/>
      <c r="CW8" s="2441"/>
      <c r="CX8" s="2442"/>
      <c r="CY8" s="2443"/>
      <c r="CZ8" s="2444"/>
      <c r="DA8" s="2444"/>
      <c r="DB8" s="2444"/>
      <c r="DC8" s="2444"/>
      <c r="DD8" s="2444"/>
      <c r="DE8" s="2444"/>
      <c r="DF8" s="2444"/>
      <c r="DG8" s="2444"/>
      <c r="DH8" s="2444"/>
      <c r="DI8" s="2444"/>
      <c r="DJ8" s="2444"/>
      <c r="DK8" s="2444"/>
      <c r="DL8" s="2444"/>
      <c r="DM8" s="2444"/>
      <c r="DN8" s="2444"/>
      <c r="DO8" s="2444"/>
      <c r="DP8" s="2444"/>
      <c r="DQ8" s="2444"/>
      <c r="DR8" s="2444"/>
      <c r="DS8" s="2444"/>
      <c r="DT8" s="2444"/>
      <c r="DU8" s="2444"/>
      <c r="DV8" s="2444"/>
      <c r="DW8" s="2444"/>
      <c r="DX8" s="2445"/>
      <c r="DY8" s="2446" t="s">
        <v>1091</v>
      </c>
      <c r="DZ8" s="2447"/>
      <c r="EA8" s="2447"/>
      <c r="EB8" s="2447"/>
      <c r="EC8" s="2447"/>
      <c r="ED8" s="2447"/>
      <c r="EE8" s="2447"/>
      <c r="EF8" s="2447"/>
      <c r="EG8" s="2447"/>
      <c r="EH8" s="2447"/>
      <c r="EI8" s="2447"/>
      <c r="EJ8" s="2447"/>
      <c r="EK8" s="2447"/>
      <c r="EL8" s="2447"/>
      <c r="EM8" s="2447"/>
      <c r="EN8" s="2447"/>
      <c r="EO8" s="2447"/>
      <c r="EP8" s="2447"/>
      <c r="EQ8" s="2447"/>
      <c r="ER8" s="2447"/>
      <c r="ES8" s="2447"/>
      <c r="ET8" s="2447"/>
      <c r="EU8" s="2447"/>
      <c r="EV8" s="2447"/>
      <c r="EW8" s="2447"/>
      <c r="EX8" s="2447"/>
      <c r="EY8" s="2447"/>
      <c r="EZ8" s="2447"/>
      <c r="FA8" s="2447"/>
      <c r="FB8" s="2447"/>
      <c r="FC8" s="2447"/>
      <c r="FD8" s="2447"/>
      <c r="FE8" s="2447"/>
      <c r="FF8" s="2447"/>
      <c r="FG8" s="2447"/>
      <c r="FH8" s="2447"/>
      <c r="FI8" s="2447"/>
      <c r="FJ8" s="2447"/>
      <c r="FK8" s="2447"/>
      <c r="FL8" s="2447"/>
      <c r="FM8" s="2447"/>
      <c r="FN8" s="2447"/>
      <c r="FO8" s="2447"/>
      <c r="FP8" s="2447"/>
      <c r="FQ8" s="2447"/>
      <c r="FR8" s="2447"/>
      <c r="FS8" s="2447"/>
      <c r="FT8" s="2447"/>
      <c r="FU8" s="2447"/>
      <c r="FV8" s="2447"/>
      <c r="FW8" s="2448"/>
      <c r="FX8" s="1057"/>
      <c r="GC8" s="934">
        <v>0</v>
      </c>
    </row>
    <row s="934" customFormat="1" customHeight="1" ht="11.25" hidden="1">
      <c r="B9" s="935"/>
      <c r="F9" s="1057"/>
      <c r="G9" s="764"/>
      <c r="H9" s="361"/>
      <c r="I9" s="361"/>
      <c r="J9" s="361"/>
      <c r="K9" s="361"/>
      <c r="L9" s="361"/>
      <c r="M9" s="1057"/>
      <c r="N9" s="1057"/>
      <c r="O9" s="1057"/>
      <c r="P9" s="1057"/>
      <c r="Q9" s="1057"/>
      <c r="R9" s="1057"/>
      <c r="S9" s="1057"/>
      <c r="T9" s="1057"/>
      <c r="U9" s="1057"/>
      <c r="V9" s="1057"/>
      <c r="W9" s="1057"/>
      <c r="X9" s="1057"/>
      <c r="Y9" s="1057"/>
      <c r="Z9" s="1057"/>
      <c r="AA9" s="1057"/>
      <c r="AB9" s="1057"/>
      <c r="AC9" s="1057"/>
      <c r="AD9" s="1057"/>
      <c r="AE9" s="1057"/>
      <c r="AF9" s="1057"/>
      <c r="AG9" s="1057"/>
      <c r="AH9" s="1057"/>
      <c r="AI9" s="1057"/>
      <c r="AJ9" s="1057"/>
      <c r="AK9" s="1057"/>
      <c r="AL9" s="1057"/>
      <c r="AM9" s="1057"/>
      <c r="AN9" s="1057"/>
      <c r="AO9" s="1057"/>
      <c r="AP9" s="1057"/>
      <c r="AQ9" s="1057"/>
      <c r="AR9" s="1057"/>
      <c r="AS9" s="1057"/>
      <c r="AT9" s="1057"/>
      <c r="AU9" s="1057"/>
      <c r="AV9" s="1057"/>
      <c r="AW9" s="1057"/>
      <c r="AX9" s="1057"/>
      <c r="AY9" s="1057"/>
      <c r="AZ9" s="1057"/>
      <c r="BA9" s="1057"/>
      <c r="BB9" s="1057"/>
      <c r="BC9" s="1057"/>
      <c r="BD9" s="1057"/>
      <c r="BE9" s="1057"/>
      <c r="BF9" s="1057"/>
      <c r="BG9" s="1057"/>
      <c r="BH9" s="1057"/>
      <c r="BI9" s="1057"/>
      <c r="BJ9" s="1057"/>
      <c r="BK9" s="1057"/>
      <c r="BL9" s="1057"/>
      <c r="BM9" s="1057"/>
      <c r="BN9" s="1057"/>
      <c r="BO9" s="1057"/>
      <c r="BP9" s="1057"/>
      <c r="BQ9" s="1057"/>
      <c r="BR9" s="1057"/>
      <c r="BS9" s="1057"/>
      <c r="BT9" s="1057"/>
      <c r="BU9" s="1057"/>
      <c r="BV9" s="1057"/>
      <c r="BW9" s="1057"/>
      <c r="BX9" s="1057"/>
      <c r="BY9" s="1057"/>
      <c r="BZ9" s="1057"/>
      <c r="CA9" s="1057"/>
      <c r="CB9" s="1057"/>
      <c r="CC9" s="1057"/>
      <c r="CD9" s="1057"/>
      <c r="CE9" s="1057"/>
      <c r="CF9" s="1057"/>
      <c r="CG9" s="1057"/>
      <c r="CH9" s="1057"/>
      <c r="CI9" s="1057"/>
      <c r="CJ9" s="1057"/>
      <c r="CK9" s="1057"/>
      <c r="CL9" s="1057"/>
      <c r="CM9" s="1057"/>
      <c r="CN9" s="1057"/>
      <c r="CO9" s="1057"/>
      <c r="CP9" s="1057"/>
      <c r="CQ9" s="1057"/>
      <c r="CR9" s="1057"/>
      <c r="CS9" s="1057"/>
      <c r="CT9" s="1057"/>
      <c r="CU9" s="1057"/>
      <c r="CV9" s="1057"/>
      <c r="CW9" s="1057"/>
      <c r="CX9" s="1057"/>
      <c r="CY9" s="1057"/>
      <c r="CZ9" s="1057"/>
      <c r="DA9" s="1057"/>
      <c r="DB9" s="1057"/>
      <c r="DC9" s="1057"/>
      <c r="DD9" s="1057"/>
      <c r="DE9" s="1057"/>
      <c r="DF9" s="1057"/>
      <c r="DG9" s="1057"/>
      <c r="DH9" s="1057"/>
      <c r="DI9" s="1057"/>
      <c r="DJ9" s="1057"/>
      <c r="DK9" s="1057"/>
      <c r="DL9" s="1057"/>
      <c r="DM9" s="1057"/>
      <c r="DN9" s="1057"/>
      <c r="DO9" s="1057"/>
      <c r="DP9" s="1057"/>
      <c r="DQ9" s="1057"/>
      <c r="DR9" s="1057"/>
      <c r="DS9" s="1057"/>
      <c r="DT9" s="1057"/>
      <c r="DU9" s="1057"/>
      <c r="DV9" s="1057"/>
      <c r="DW9" s="1057"/>
      <c r="DX9" s="1057"/>
      <c r="DY9" s="1057"/>
      <c r="DZ9" s="1057"/>
      <c r="EA9" s="1057"/>
      <c r="EB9" s="1057"/>
      <c r="EC9" s="1057"/>
      <c r="ED9" s="1057"/>
      <c r="EE9" s="1057"/>
      <c r="EF9" s="1057"/>
      <c r="EG9" s="1057"/>
      <c r="EH9" s="1057"/>
      <c r="EI9" s="1057"/>
      <c r="EJ9" s="1057"/>
      <c r="EK9" s="1057"/>
      <c r="EL9" s="1057"/>
      <c r="EM9" s="1057"/>
      <c r="EN9" s="1057"/>
      <c r="EO9" s="1057"/>
      <c r="EP9" s="1057"/>
      <c r="EQ9" s="1057"/>
      <c r="ER9" s="1057"/>
      <c r="ES9" s="1057"/>
      <c r="ET9" s="1057"/>
      <c r="EU9" s="1057"/>
      <c r="EV9" s="1057"/>
      <c r="EW9" s="1057"/>
      <c r="EX9" s="1057"/>
      <c r="EY9" s="1057"/>
      <c r="EZ9" s="1057"/>
      <c r="FA9" s="1057"/>
      <c r="FB9" s="1057"/>
      <c r="FC9" s="1057"/>
      <c r="FD9" s="1057"/>
      <c r="FE9" s="1057"/>
      <c r="FF9" s="1057"/>
      <c r="FG9" s="1057"/>
      <c r="FH9" s="1057"/>
      <c r="FI9" s="1057"/>
      <c r="FJ9" s="1057"/>
      <c r="FK9" s="1057"/>
      <c r="FL9" s="1057"/>
      <c r="FM9" s="1057"/>
      <c r="FN9" s="1057"/>
      <c r="FO9" s="1057"/>
      <c r="FP9" s="1057"/>
      <c r="FQ9" s="1057"/>
      <c r="FR9" s="1057"/>
      <c r="FS9" s="1057"/>
      <c r="FT9" s="1057"/>
      <c r="FU9" s="1057"/>
      <c r="FV9" s="1057"/>
      <c r="FW9" s="2449"/>
      <c r="FX9" s="1057"/>
      <c r="GC9" s="934">
        <v>0</v>
      </c>
    </row>
    <row s="934" customFormat="1" customHeight="1" ht="11.549999999999999">
      <c r="B10" s="935"/>
      <c r="F10" s="2430" t="s">
        <v>317</v>
      </c>
      <c r="G10" s="2431"/>
      <c r="H10" s="2431"/>
      <c r="I10" s="2431"/>
      <c r="J10" s="2431"/>
      <c r="K10" s="2431"/>
      <c r="L10" s="2431"/>
      <c r="M10" s="2431"/>
      <c r="N10" s="2431"/>
      <c r="O10" s="2431"/>
      <c r="P10" s="2431"/>
      <c r="Q10" s="2431"/>
      <c r="R10" s="2431"/>
      <c r="S10" s="2431"/>
      <c r="T10" s="2431"/>
      <c r="U10" s="2431"/>
      <c r="V10" s="2431"/>
      <c r="W10" s="2431"/>
      <c r="X10" s="2431"/>
      <c r="Y10" s="2431"/>
      <c r="Z10" s="2431"/>
      <c r="AA10" s="2431"/>
      <c r="AB10" s="2431"/>
      <c r="AC10" s="2431"/>
      <c r="AD10" s="2431"/>
      <c r="AE10" s="2431"/>
      <c r="AF10" s="2431"/>
      <c r="AG10" s="2431"/>
      <c r="AH10" s="2431"/>
      <c r="AI10" s="2431"/>
      <c r="AJ10" s="2431"/>
      <c r="AK10" s="2431"/>
      <c r="AL10" s="2431"/>
      <c r="AM10" s="2431"/>
      <c r="AN10" s="2431"/>
      <c r="AO10" s="2431"/>
      <c r="AP10" s="2431"/>
      <c r="AQ10" s="2431"/>
      <c r="AR10" s="2431"/>
      <c r="AS10" s="2431"/>
      <c r="AT10" s="2431"/>
      <c r="AU10" s="2431"/>
      <c r="AV10" s="2431"/>
      <c r="AW10" s="2431"/>
      <c r="AX10" s="2431"/>
      <c r="AY10" s="2431"/>
      <c r="AZ10" s="2431"/>
      <c r="BA10" s="2431"/>
      <c r="BB10" s="2431"/>
      <c r="BC10" s="2431"/>
      <c r="BD10" s="2431"/>
      <c r="BE10" s="2431"/>
      <c r="BF10" s="2431"/>
      <c r="BG10" s="2431"/>
      <c r="BH10" s="2431"/>
      <c r="BI10" s="2431"/>
      <c r="BJ10" s="2431"/>
      <c r="BK10" s="2431"/>
      <c r="BL10" s="2431"/>
      <c r="BM10" s="2431"/>
      <c r="BN10" s="2431"/>
      <c r="BO10" s="2431"/>
      <c r="BP10" s="2431"/>
      <c r="BQ10" s="2431"/>
      <c r="BR10" s="2431"/>
      <c r="BS10" s="2431"/>
      <c r="BT10" s="2431"/>
      <c r="BU10" s="2431"/>
      <c r="BV10" s="2431"/>
      <c r="BW10" s="2431"/>
      <c r="BX10" s="2431"/>
      <c r="BY10" s="2431"/>
      <c r="BZ10" s="2431"/>
      <c r="CA10" s="2431"/>
      <c r="CB10" s="2431"/>
      <c r="CC10" s="2431"/>
      <c r="CD10" s="2431"/>
      <c r="CE10" s="2431"/>
      <c r="CF10" s="2431"/>
      <c r="CG10" s="2431"/>
      <c r="CH10" s="2431"/>
      <c r="CI10" s="2431"/>
      <c r="CJ10" s="2431"/>
      <c r="CK10" s="2431"/>
      <c r="CL10" s="2431"/>
      <c r="CM10" s="2431"/>
      <c r="CN10" s="2431"/>
      <c r="CO10" s="2431"/>
      <c r="CP10" s="2431"/>
      <c r="CQ10" s="2431"/>
      <c r="CR10" s="2431"/>
      <c r="CS10" s="2431"/>
      <c r="CT10" s="2431"/>
      <c r="CU10" s="2431"/>
      <c r="CV10" s="2431"/>
      <c r="CW10" s="2431"/>
      <c r="CX10" s="2431"/>
      <c r="CY10" s="2431"/>
      <c r="CZ10" s="2431"/>
      <c r="DA10" s="2431"/>
      <c r="DB10" s="2431"/>
      <c r="DC10" s="2431"/>
      <c r="DD10" s="2431"/>
      <c r="DE10" s="2431"/>
      <c r="DF10" s="2431"/>
      <c r="DG10" s="2431"/>
      <c r="DH10" s="2431"/>
      <c r="DI10" s="2431"/>
      <c r="DJ10" s="2431"/>
      <c r="DK10" s="2431"/>
      <c r="DL10" s="2431"/>
      <c r="DM10" s="2431"/>
      <c r="DN10" s="2431"/>
      <c r="DO10" s="2431"/>
      <c r="DP10" s="2431"/>
      <c r="DQ10" s="2431"/>
      <c r="DR10" s="2431"/>
      <c r="DS10" s="2431"/>
      <c r="DT10" s="2431"/>
      <c r="DU10" s="2431"/>
      <c r="DV10" s="2431"/>
      <c r="DW10" s="2431"/>
      <c r="DX10" s="2431"/>
      <c r="DY10" s="2431"/>
      <c r="DZ10" s="2431"/>
      <c r="EA10" s="2431"/>
      <c r="EB10" s="2431"/>
      <c r="EC10" s="2431"/>
      <c r="ED10" s="2431"/>
      <c r="EE10" s="2431"/>
      <c r="EF10" s="2431"/>
      <c r="EG10" s="2431"/>
      <c r="EH10" s="2431"/>
      <c r="EI10" s="2431"/>
      <c r="EJ10" s="2431"/>
      <c r="EK10" s="2431"/>
      <c r="EL10" s="2431"/>
      <c r="EM10" s="2431"/>
      <c r="EN10" s="2431"/>
      <c r="EO10" s="2431"/>
      <c r="EP10" s="2431"/>
      <c r="EQ10" s="2431"/>
      <c r="ER10" s="2431"/>
      <c r="ES10" s="2431"/>
      <c r="ET10" s="2431"/>
      <c r="EU10" s="2431"/>
      <c r="EV10" s="2431"/>
      <c r="EW10" s="2431"/>
      <c r="EX10" s="2431"/>
      <c r="EY10" s="2431"/>
      <c r="EZ10" s="2431"/>
      <c r="FA10" s="2431"/>
      <c r="FB10" s="2431"/>
      <c r="FC10" s="2431"/>
      <c r="FD10" s="2431"/>
      <c r="FE10" s="2431"/>
      <c r="FF10" s="2431"/>
      <c r="FG10" s="2431"/>
      <c r="FH10" s="2431"/>
      <c r="FI10" s="2431"/>
      <c r="FJ10" s="2431"/>
      <c r="FK10" s="2431"/>
      <c r="FL10" s="2431"/>
      <c r="FM10" s="2431"/>
      <c r="FN10" s="2431"/>
      <c r="FO10" s="2431"/>
      <c r="FP10" s="2431"/>
      <c r="FQ10" s="2431"/>
      <c r="FR10" s="2431"/>
      <c r="FS10" s="2431"/>
      <c r="FT10" s="2431"/>
      <c r="FU10" s="2431"/>
      <c r="FV10" s="2432"/>
      <c r="FW10" s="2449"/>
      <c r="FX10" s="1057"/>
      <c r="GC10" s="934">
        <v>11</v>
      </c>
    </row>
    <row customHeight="1" ht="12.75">
      <c r="E11" s="938"/>
      <c r="F11" s="2206" t="s">
        <v>89</v>
      </c>
      <c r="G11" s="2206" t="s">
        <v>1092</v>
      </c>
      <c r="H11" s="2438" t="s">
        <v>1093</v>
      </c>
      <c r="I11" s="2438" t="s">
        <v>1094</v>
      </c>
      <c r="J11" s="2439"/>
      <c r="K11" s="2439"/>
      <c r="L11" s="2439"/>
      <c r="M11" s="2439"/>
      <c r="N11" s="2439"/>
      <c r="O11" s="2210" t="s">
        <v>1095</v>
      </c>
      <c r="P11" s="2210"/>
      <c r="Q11" s="2210"/>
      <c r="R11" s="2210"/>
      <c r="S11" s="2210"/>
      <c r="T11" s="2210"/>
      <c r="U11" s="2210"/>
      <c r="V11" s="2210"/>
      <c r="W11" s="2210"/>
      <c r="X11" s="2210"/>
      <c r="Y11" s="2210"/>
      <c r="Z11" s="2210"/>
      <c r="AA11" s="2210"/>
      <c r="AB11" s="2210"/>
      <c r="AC11" s="2435"/>
      <c r="AD11" s="2435"/>
      <c r="AE11" s="2435"/>
      <c r="AF11" s="2435"/>
      <c r="AG11" s="2435"/>
      <c r="AH11" s="2435"/>
      <c r="AI11" s="2435"/>
      <c r="AJ11" s="2435"/>
      <c r="AK11" s="2435"/>
      <c r="AL11" s="2435"/>
      <c r="AM11" s="2435"/>
      <c r="AN11" s="2435"/>
      <c r="AO11" s="2435"/>
      <c r="AP11" s="2435"/>
      <c r="AQ11" s="2435"/>
      <c r="AR11" s="2435"/>
      <c r="AS11" s="2435"/>
      <c r="AT11" s="2435"/>
      <c r="AU11" s="2435"/>
      <c r="AV11" s="2435"/>
      <c r="AW11" s="2435"/>
      <c r="AX11" s="2435"/>
      <c r="AY11" s="2435"/>
      <c r="AZ11" s="2435"/>
      <c r="BA11" s="2435"/>
      <c r="BB11" s="2435"/>
      <c r="BC11" s="2435"/>
      <c r="BD11" s="2435"/>
      <c r="BE11" s="2435"/>
      <c r="BF11" s="2435"/>
      <c r="BG11" s="2435"/>
      <c r="BH11" s="2435"/>
      <c r="BI11" s="2435"/>
      <c r="BJ11" s="2435"/>
      <c r="BK11" s="2435"/>
      <c r="BL11" s="2435"/>
      <c r="BM11" s="2435"/>
      <c r="BN11" s="2435"/>
      <c r="BO11" s="2435"/>
      <c r="BP11" s="2435"/>
      <c r="BQ11" s="2435"/>
      <c r="BR11" s="2435"/>
      <c r="BS11" s="2454"/>
      <c r="BT11" s="2387" t="s">
        <v>1095</v>
      </c>
      <c r="BU11" s="2388"/>
      <c r="BV11" s="2388"/>
      <c r="BW11" s="2388"/>
      <c r="BX11" s="2388"/>
      <c r="BY11" s="2388"/>
      <c r="BZ11" s="2388"/>
      <c r="CA11" s="2388"/>
      <c r="CB11" s="2388"/>
      <c r="CC11" s="2388"/>
      <c r="CD11" s="2388"/>
      <c r="CE11" s="2388"/>
      <c r="CF11" s="2388"/>
      <c r="CG11" s="2388"/>
      <c r="CH11" s="2388"/>
      <c r="CI11" s="2388"/>
      <c r="CJ11" s="2388"/>
      <c r="CK11" s="2434"/>
      <c r="CL11" s="2437"/>
      <c r="CM11" s="2435"/>
      <c r="CN11" s="2435"/>
      <c r="CO11" s="2435"/>
      <c r="CP11" s="2435"/>
      <c r="CQ11" s="2435"/>
      <c r="CR11" s="2435"/>
      <c r="CS11" s="2435"/>
      <c r="CT11" s="2435"/>
      <c r="CU11" s="2435"/>
      <c r="CV11" s="2435"/>
      <c r="CW11" s="2435"/>
      <c r="CX11" s="2454"/>
      <c r="CY11" s="2387" t="s">
        <v>1095</v>
      </c>
      <c r="CZ11" s="2388"/>
      <c r="DA11" s="2388"/>
      <c r="DB11" s="2388"/>
      <c r="DC11" s="2388"/>
      <c r="DD11" s="2388"/>
      <c r="DE11" s="2388"/>
      <c r="DF11" s="2388"/>
      <c r="DG11" s="2388"/>
      <c r="DH11" s="2388"/>
      <c r="DI11" s="2388"/>
      <c r="DJ11" s="2434"/>
      <c r="DK11" s="2437"/>
      <c r="DL11" s="2435"/>
      <c r="DM11" s="2435"/>
      <c r="DN11" s="2435"/>
      <c r="DO11" s="2435"/>
      <c r="DP11" s="2435"/>
      <c r="DQ11" s="2435"/>
      <c r="DR11" s="2435"/>
      <c r="DS11" s="2435"/>
      <c r="DT11" s="2435"/>
      <c r="DU11" s="2435"/>
      <c r="DV11" s="2435"/>
      <c r="DW11" s="2435"/>
      <c r="DX11" s="2435"/>
      <c r="DY11" s="2435"/>
      <c r="DZ11" s="2435"/>
      <c r="EA11" s="2435"/>
      <c r="EB11" s="2435"/>
      <c r="EC11" s="2435"/>
      <c r="ED11" s="2435"/>
      <c r="EE11" s="2435"/>
      <c r="EF11" s="2435"/>
      <c r="EG11" s="2435"/>
      <c r="EH11" s="2435"/>
      <c r="EI11" s="2435"/>
      <c r="EJ11" s="2435"/>
      <c r="EK11" s="2435"/>
      <c r="EL11" s="2435"/>
      <c r="EM11" s="2435"/>
      <c r="EN11" s="2435"/>
      <c r="EO11" s="2435"/>
      <c r="EP11" s="2435"/>
      <c r="EQ11" s="2435"/>
      <c r="ER11" s="2435"/>
      <c r="ES11" s="2435"/>
      <c r="ET11" s="2435"/>
      <c r="EU11" s="2435"/>
      <c r="EV11" s="2435"/>
      <c r="EW11" s="2435"/>
      <c r="EX11" s="2435"/>
      <c r="EY11" s="2435"/>
      <c r="EZ11" s="2435"/>
      <c r="FA11" s="2435"/>
      <c r="FB11" s="2435"/>
      <c r="FC11" s="2435"/>
      <c r="FD11" s="2435"/>
      <c r="FE11" s="2435"/>
      <c r="FF11" s="2435"/>
      <c r="FG11" s="2435"/>
      <c r="FH11" s="2435"/>
      <c r="FI11" s="2435"/>
      <c r="FJ11" s="2435"/>
      <c r="FK11" s="2435"/>
      <c r="FL11" s="2435"/>
      <c r="FM11" s="2435"/>
      <c r="FN11" s="2435"/>
      <c r="FO11" s="2435"/>
      <c r="FP11" s="2435"/>
      <c r="FQ11" s="2435"/>
      <c r="FR11" s="2435"/>
      <c r="FS11" s="2435"/>
      <c r="FT11" s="2435"/>
      <c r="FU11" s="2435"/>
      <c r="FV11" s="2435"/>
      <c r="FW11" s="2449"/>
      <c r="FX11" s="763"/>
      <c r="GC11" s="927">
        <v>12</v>
      </c>
    </row>
    <row customHeight="1" ht="12.75">
      <c r="D12" s="939"/>
      <c r="E12" s="938"/>
      <c r="F12" s="2206"/>
      <c r="G12" s="2206"/>
      <c r="H12" s="2438"/>
      <c r="I12" s="2438"/>
      <c r="J12" s="2439"/>
      <c r="K12" s="2439"/>
      <c r="L12" s="2439"/>
      <c r="M12" s="2439"/>
      <c r="N12" s="2439"/>
      <c r="O12" s="2210" t="s">
        <v>1096</v>
      </c>
      <c r="P12" s="2210"/>
      <c r="Q12" s="2210"/>
      <c r="R12" s="2210"/>
      <c r="S12" s="2210" t="s">
        <v>1097</v>
      </c>
      <c r="T12" s="2210"/>
      <c r="U12" s="2210"/>
      <c r="V12" s="2210"/>
      <c r="W12" s="2210"/>
      <c r="X12" s="2210"/>
      <c r="Y12" s="2210"/>
      <c r="Z12" s="2210"/>
      <c r="AA12" s="2210"/>
      <c r="AB12" s="2210"/>
      <c r="AC12" s="2435"/>
      <c r="AD12" s="2435"/>
      <c r="AE12" s="2435"/>
      <c r="AF12" s="2435"/>
      <c r="AG12" s="2435"/>
      <c r="AH12" s="2435"/>
      <c r="AI12" s="2435"/>
      <c r="AJ12" s="2435"/>
      <c r="AK12" s="2435"/>
      <c r="AL12" s="2435"/>
      <c r="AM12" s="2435"/>
      <c r="AN12" s="2435"/>
      <c r="AO12" s="2435"/>
      <c r="AP12" s="2435"/>
      <c r="AQ12" s="2435"/>
      <c r="AR12" s="2435"/>
      <c r="AS12" s="2435"/>
      <c r="AT12" s="2435"/>
      <c r="AU12" s="2435"/>
      <c r="AV12" s="2435"/>
      <c r="AW12" s="2435"/>
      <c r="AX12" s="2435"/>
      <c r="AY12" s="2435"/>
      <c r="AZ12" s="2435"/>
      <c r="BA12" s="2435"/>
      <c r="BB12" s="2435"/>
      <c r="BC12" s="2435"/>
      <c r="BD12" s="2435"/>
      <c r="BE12" s="2435"/>
      <c r="BF12" s="2435"/>
      <c r="BG12" s="2435"/>
      <c r="BH12" s="2435"/>
      <c r="BI12" s="2435"/>
      <c r="BJ12" s="2435"/>
      <c r="BK12" s="2435"/>
      <c r="BL12" s="2435"/>
      <c r="BM12" s="2435"/>
      <c r="BN12" s="2435"/>
      <c r="BO12" s="2435"/>
      <c r="BP12" s="2435"/>
      <c r="BQ12" s="2435"/>
      <c r="BR12" s="2435"/>
      <c r="BS12" s="2454"/>
      <c r="BT12" s="2387" t="s">
        <v>1098</v>
      </c>
      <c r="BU12" s="2388"/>
      <c r="BV12" s="2388"/>
      <c r="BW12" s="2434"/>
      <c r="BX12" s="2387" t="s">
        <v>1099</v>
      </c>
      <c r="BY12" s="2388"/>
      <c r="BZ12" s="2388"/>
      <c r="CA12" s="2434"/>
      <c r="CB12" s="2387" t="s">
        <v>1100</v>
      </c>
      <c r="CC12" s="2434"/>
      <c r="CD12" s="2387" t="s">
        <v>1101</v>
      </c>
      <c r="CE12" s="2388"/>
      <c r="CF12" s="2388"/>
      <c r="CG12" s="2388"/>
      <c r="CH12" s="2388"/>
      <c r="CI12" s="2388"/>
      <c r="CJ12" s="2388"/>
      <c r="CK12" s="2434"/>
      <c r="CL12" s="2437"/>
      <c r="CM12" s="2435"/>
      <c r="CN12" s="2435"/>
      <c r="CO12" s="2435"/>
      <c r="CP12" s="2435"/>
      <c r="CQ12" s="2435"/>
      <c r="CR12" s="2435"/>
      <c r="CS12" s="2435"/>
      <c r="CT12" s="2435"/>
      <c r="CU12" s="2435"/>
      <c r="CV12" s="2435"/>
      <c r="CW12" s="2435"/>
      <c r="CX12" s="2454"/>
      <c r="CY12" s="2387" t="s">
        <v>1102</v>
      </c>
      <c r="CZ12" s="2388"/>
      <c r="DA12" s="2388"/>
      <c r="DB12" s="2388"/>
      <c r="DC12" s="2388"/>
      <c r="DD12" s="2434"/>
      <c r="DE12" s="2387" t="s">
        <v>1103</v>
      </c>
      <c r="DF12" s="2434"/>
      <c r="DG12" s="2387" t="s">
        <v>1101</v>
      </c>
      <c r="DH12" s="2388"/>
      <c r="DI12" s="2388"/>
      <c r="DJ12" s="2434"/>
      <c r="DK12" s="2437"/>
      <c r="DL12" s="2435"/>
      <c r="DM12" s="2435"/>
      <c r="DN12" s="2435"/>
      <c r="DO12" s="2435"/>
      <c r="DP12" s="2435"/>
      <c r="DQ12" s="2435"/>
      <c r="DR12" s="2435"/>
      <c r="DS12" s="2435"/>
      <c r="DT12" s="2435"/>
      <c r="DU12" s="2435"/>
      <c r="DV12" s="2435"/>
      <c r="DW12" s="2435"/>
      <c r="DX12" s="2435"/>
      <c r="DY12" s="2435"/>
      <c r="DZ12" s="2435"/>
      <c r="EA12" s="2435"/>
      <c r="EB12" s="2435"/>
      <c r="EC12" s="2435"/>
      <c r="ED12" s="2435"/>
      <c r="EE12" s="2435"/>
      <c r="EF12" s="2435"/>
      <c r="EG12" s="2435"/>
      <c r="EH12" s="2435"/>
      <c r="EI12" s="2435"/>
      <c r="EJ12" s="2435"/>
      <c r="EK12" s="2435"/>
      <c r="EL12" s="2435"/>
      <c r="EM12" s="2435"/>
      <c r="EN12" s="2435"/>
      <c r="EO12" s="2435"/>
      <c r="EP12" s="2435"/>
      <c r="EQ12" s="2435"/>
      <c r="ER12" s="2435"/>
      <c r="ES12" s="2435"/>
      <c r="ET12" s="2435"/>
      <c r="EU12" s="2435"/>
      <c r="EV12" s="2435"/>
      <c r="EW12" s="2435"/>
      <c r="EX12" s="2435"/>
      <c r="EY12" s="2435"/>
      <c r="EZ12" s="2435"/>
      <c r="FA12" s="2435"/>
      <c r="FB12" s="2435"/>
      <c r="FC12" s="2435"/>
      <c r="FD12" s="2435"/>
      <c r="FE12" s="2435"/>
      <c r="FF12" s="2435"/>
      <c r="FG12" s="2435"/>
      <c r="FH12" s="2435"/>
      <c r="FI12" s="2435"/>
      <c r="FJ12" s="2435"/>
      <c r="FK12" s="2435"/>
      <c r="FL12" s="2435"/>
      <c r="FM12" s="2435"/>
      <c r="FN12" s="2435"/>
      <c r="FO12" s="2435"/>
      <c r="FP12" s="2435"/>
      <c r="FQ12" s="2435"/>
      <c r="FR12" s="2435"/>
      <c r="FS12" s="2435"/>
      <c r="FT12" s="2435"/>
      <c r="FU12" s="2435"/>
      <c r="FV12" s="2435"/>
      <c r="FW12" s="2449"/>
      <c r="FX12" s="763"/>
      <c r="GC12" s="927">
        <v>12</v>
      </c>
    </row>
    <row customHeight="1" ht="37.8">
      <c r="D13" s="939"/>
      <c r="E13" s="938"/>
      <c r="F13" s="2206"/>
      <c r="G13" s="2206"/>
      <c r="H13" s="2438"/>
      <c r="I13" s="2438"/>
      <c r="J13" s="2439"/>
      <c r="K13" s="2439"/>
      <c r="L13" s="2439"/>
      <c r="M13" s="2439"/>
      <c r="N13" s="2439"/>
      <c r="O13" s="2210" t="s">
        <v>1104</v>
      </c>
      <c r="P13" s="2210"/>
      <c r="Q13" s="2210"/>
      <c r="R13" s="2210"/>
      <c r="S13" s="2337" t="s">
        <v>1105</v>
      </c>
      <c r="T13" s="2389"/>
      <c r="U13" s="2128" t="s">
        <v>1106</v>
      </c>
      <c r="V13" s="2128"/>
      <c r="W13" s="2128"/>
      <c r="X13" s="2128"/>
      <c r="Y13" s="2128" t="s">
        <v>1107</v>
      </c>
      <c r="Z13" s="2128"/>
      <c r="AA13" s="2128"/>
      <c r="AB13" s="2128"/>
      <c r="AC13" s="2435"/>
      <c r="AD13" s="2435"/>
      <c r="AE13" s="2435"/>
      <c r="AF13" s="2435"/>
      <c r="AG13" s="2435"/>
      <c r="AH13" s="2435"/>
      <c r="AI13" s="2435"/>
      <c r="AJ13" s="2435"/>
      <c r="AK13" s="2435"/>
      <c r="AL13" s="2435"/>
      <c r="AM13" s="2435"/>
      <c r="AN13" s="2435"/>
      <c r="AO13" s="2435"/>
      <c r="AP13" s="2435"/>
      <c r="AQ13" s="2435"/>
      <c r="AR13" s="2435"/>
      <c r="AS13" s="2435"/>
      <c r="AT13" s="2435"/>
      <c r="AU13" s="2435"/>
      <c r="AV13" s="2435"/>
      <c r="AW13" s="2435"/>
      <c r="AX13" s="2435"/>
      <c r="AY13" s="2435"/>
      <c r="AZ13" s="2435"/>
      <c r="BA13" s="2435"/>
      <c r="BB13" s="2435"/>
      <c r="BC13" s="2435"/>
      <c r="BD13" s="2435"/>
      <c r="BE13" s="2435"/>
      <c r="BF13" s="2435"/>
      <c r="BG13" s="2435"/>
      <c r="BH13" s="2435"/>
      <c r="BI13" s="2435"/>
      <c r="BJ13" s="2435"/>
      <c r="BK13" s="2435"/>
      <c r="BL13" s="2435"/>
      <c r="BM13" s="2435"/>
      <c r="BN13" s="2435"/>
      <c r="BO13" s="2435"/>
      <c r="BP13" s="2435"/>
      <c r="BQ13" s="2435"/>
      <c r="BR13" s="2435"/>
      <c r="BS13" s="2454"/>
      <c r="BT13" s="2337" t="s">
        <v>1108</v>
      </c>
      <c r="BU13" s="2389"/>
      <c r="BV13" s="2337" t="s">
        <v>1109</v>
      </c>
      <c r="BW13" s="2389"/>
      <c r="BX13" s="2337" t="s">
        <v>1110</v>
      </c>
      <c r="BY13" s="2389"/>
      <c r="BZ13" s="2337" t="s">
        <v>1111</v>
      </c>
      <c r="CA13" s="2389"/>
      <c r="CB13" s="2337" t="s">
        <v>1112</v>
      </c>
      <c r="CC13" s="2389"/>
      <c r="CD13" s="2337" t="s">
        <v>1113</v>
      </c>
      <c r="CE13" s="2389"/>
      <c r="CF13" s="2337" t="s">
        <v>1114</v>
      </c>
      <c r="CG13" s="2389"/>
      <c r="CH13" s="2387" t="s">
        <v>1115</v>
      </c>
      <c r="CI13" s="2388"/>
      <c r="CJ13" s="2388"/>
      <c r="CK13" s="2434"/>
      <c r="CL13" s="2437"/>
      <c r="CM13" s="2435"/>
      <c r="CN13" s="2435"/>
      <c r="CO13" s="2435"/>
      <c r="CP13" s="2435"/>
      <c r="CQ13" s="2435"/>
      <c r="CR13" s="2435"/>
      <c r="CS13" s="2435"/>
      <c r="CT13" s="2435"/>
      <c r="CU13" s="2435"/>
      <c r="CV13" s="2435"/>
      <c r="CW13" s="2435"/>
      <c r="CX13" s="2454"/>
      <c r="CY13" s="2337" t="s">
        <v>1116</v>
      </c>
      <c r="CZ13" s="2389"/>
      <c r="DA13" s="2337" t="s">
        <v>1117</v>
      </c>
      <c r="DB13" s="2389"/>
      <c r="DC13" s="2337" t="s">
        <v>1118</v>
      </c>
      <c r="DD13" s="2389"/>
      <c r="DE13" s="2337" t="s">
        <v>1119</v>
      </c>
      <c r="DF13" s="2389"/>
      <c r="DG13" s="2387" t="s">
        <v>1120</v>
      </c>
      <c r="DH13" s="2388"/>
      <c r="DI13" s="2388"/>
      <c r="DJ13" s="2434"/>
      <c r="DK13" s="2437"/>
      <c r="DL13" s="2435"/>
      <c r="DM13" s="2435"/>
      <c r="DN13" s="2435"/>
      <c r="DO13" s="2435"/>
      <c r="DP13" s="2435"/>
      <c r="DQ13" s="2435"/>
      <c r="DR13" s="2435"/>
      <c r="DS13" s="2435"/>
      <c r="DT13" s="2435"/>
      <c r="DU13" s="2435"/>
      <c r="DV13" s="2435"/>
      <c r="DW13" s="2435"/>
      <c r="DX13" s="2435"/>
      <c r="DY13" s="2435"/>
      <c r="DZ13" s="2435"/>
      <c r="EA13" s="2435"/>
      <c r="EB13" s="2435"/>
      <c r="EC13" s="2435"/>
      <c r="ED13" s="2435"/>
      <c r="EE13" s="2435"/>
      <c r="EF13" s="2435"/>
      <c r="EG13" s="2435"/>
      <c r="EH13" s="2435"/>
      <c r="EI13" s="2435"/>
      <c r="EJ13" s="2435"/>
      <c r="EK13" s="2435"/>
      <c r="EL13" s="2435"/>
      <c r="EM13" s="2435"/>
      <c r="EN13" s="2435"/>
      <c r="EO13" s="2435"/>
      <c r="EP13" s="2435"/>
      <c r="EQ13" s="2435"/>
      <c r="ER13" s="2435"/>
      <c r="ES13" s="2435"/>
      <c r="ET13" s="2435"/>
      <c r="EU13" s="2435"/>
      <c r="EV13" s="2435"/>
      <c r="EW13" s="2435"/>
      <c r="EX13" s="2435"/>
      <c r="EY13" s="2435"/>
      <c r="EZ13" s="2435"/>
      <c r="FA13" s="2435"/>
      <c r="FB13" s="2435"/>
      <c r="FC13" s="2435"/>
      <c r="FD13" s="2435"/>
      <c r="FE13" s="2435"/>
      <c r="FF13" s="2435"/>
      <c r="FG13" s="2435"/>
      <c r="FH13" s="2435"/>
      <c r="FI13" s="2435"/>
      <c r="FJ13" s="2435"/>
      <c r="FK13" s="2435"/>
      <c r="FL13" s="2435"/>
      <c r="FM13" s="2435"/>
      <c r="FN13" s="2435"/>
      <c r="FO13" s="2435"/>
      <c r="FP13" s="2435"/>
      <c r="FQ13" s="2435"/>
      <c r="FR13" s="2435"/>
      <c r="FS13" s="2435"/>
      <c r="FT13" s="2435"/>
      <c r="FU13" s="2435"/>
      <c r="FV13" s="2435"/>
      <c r="FW13" s="2449"/>
      <c r="FX13" s="763"/>
      <c r="GC13" s="927">
        <v>36</v>
      </c>
    </row>
    <row customHeight="1" ht="37.8">
      <c r="D14" s="939"/>
      <c r="E14" s="938"/>
      <c r="F14" s="2206"/>
      <c r="G14" s="2206"/>
      <c r="H14" s="2438"/>
      <c r="I14" s="2438"/>
      <c r="J14" s="2439"/>
      <c r="K14" s="2439"/>
      <c r="L14" s="2439"/>
      <c r="M14" s="2439"/>
      <c r="N14" s="2439"/>
      <c r="O14" s="2337" t="s">
        <v>1121</v>
      </c>
      <c r="P14" s="2389"/>
      <c r="Q14" s="2337" t="s">
        <v>1122</v>
      </c>
      <c r="R14" s="2389"/>
      <c r="S14" s="2338"/>
      <c r="T14" s="2214"/>
      <c r="U14" s="2337" t="s">
        <v>854</v>
      </c>
      <c r="V14" s="2389"/>
      <c r="W14" s="2337" t="s">
        <v>857</v>
      </c>
      <c r="X14" s="2389"/>
      <c r="Y14" s="2337" t="s">
        <v>854</v>
      </c>
      <c r="Z14" s="2389"/>
      <c r="AA14" s="2337" t="s">
        <v>864</v>
      </c>
      <c r="AB14" s="2389"/>
      <c r="AC14" s="2435"/>
      <c r="AD14" s="2435"/>
      <c r="AE14" s="2435"/>
      <c r="AF14" s="2435"/>
      <c r="AG14" s="2435"/>
      <c r="AH14" s="2435"/>
      <c r="AI14" s="2435"/>
      <c r="AJ14" s="2435"/>
      <c r="AK14" s="2435"/>
      <c r="AL14" s="2435"/>
      <c r="AM14" s="2435"/>
      <c r="AN14" s="2435"/>
      <c r="AO14" s="2435"/>
      <c r="AP14" s="2435"/>
      <c r="AQ14" s="2435"/>
      <c r="AR14" s="2435"/>
      <c r="AS14" s="2435"/>
      <c r="AT14" s="2435"/>
      <c r="AU14" s="2435"/>
      <c r="AV14" s="2435"/>
      <c r="AW14" s="2435"/>
      <c r="AX14" s="2435"/>
      <c r="AY14" s="2435"/>
      <c r="AZ14" s="2435"/>
      <c r="BA14" s="2435"/>
      <c r="BB14" s="2435"/>
      <c r="BC14" s="2435"/>
      <c r="BD14" s="2435"/>
      <c r="BE14" s="2435"/>
      <c r="BF14" s="2435"/>
      <c r="BG14" s="2435"/>
      <c r="BH14" s="2435"/>
      <c r="BI14" s="2435"/>
      <c r="BJ14" s="2435"/>
      <c r="BK14" s="2435"/>
      <c r="BL14" s="2435"/>
      <c r="BM14" s="2435"/>
      <c r="BN14" s="2435"/>
      <c r="BO14" s="2435"/>
      <c r="BP14" s="2435"/>
      <c r="BQ14" s="2435"/>
      <c r="BR14" s="2435"/>
      <c r="BS14" s="2454"/>
      <c r="BT14" s="2338"/>
      <c r="BU14" s="2214"/>
      <c r="BV14" s="2338"/>
      <c r="BW14" s="2214"/>
      <c r="BX14" s="2338"/>
      <c r="BY14" s="2214"/>
      <c r="BZ14" s="2338"/>
      <c r="CA14" s="2214"/>
      <c r="CB14" s="2338"/>
      <c r="CC14" s="2214"/>
      <c r="CD14" s="2338"/>
      <c r="CE14" s="2214"/>
      <c r="CF14" s="2338"/>
      <c r="CG14" s="2214"/>
      <c r="CH14" s="2337" t="s">
        <v>1123</v>
      </c>
      <c r="CI14" s="2389"/>
      <c r="CJ14" s="2337" t="s">
        <v>1124</v>
      </c>
      <c r="CK14" s="2389"/>
      <c r="CL14" s="2437"/>
      <c r="CM14" s="2435"/>
      <c r="CN14" s="2435"/>
      <c r="CO14" s="2435"/>
      <c r="CP14" s="2435"/>
      <c r="CQ14" s="2435"/>
      <c r="CR14" s="2435"/>
      <c r="CS14" s="2435"/>
      <c r="CT14" s="2435"/>
      <c r="CU14" s="2435"/>
      <c r="CV14" s="2435"/>
      <c r="CW14" s="2435"/>
      <c r="CX14" s="2454"/>
      <c r="CY14" s="2338"/>
      <c r="CZ14" s="2214"/>
      <c r="DA14" s="2338"/>
      <c r="DB14" s="2214"/>
      <c r="DC14" s="2338"/>
      <c r="DD14" s="2214"/>
      <c r="DE14" s="2338"/>
      <c r="DF14" s="2214"/>
      <c r="DG14" s="2337" t="s">
        <v>1125</v>
      </c>
      <c r="DH14" s="2389"/>
      <c r="DI14" s="2337" t="s">
        <v>1126</v>
      </c>
      <c r="DJ14" s="2389"/>
      <c r="DK14" s="2437"/>
      <c r="DL14" s="2435"/>
      <c r="DM14" s="2435"/>
      <c r="DN14" s="2435"/>
      <c r="DO14" s="2435"/>
      <c r="DP14" s="2435"/>
      <c r="DQ14" s="2435"/>
      <c r="DR14" s="2435"/>
      <c r="DS14" s="2435"/>
      <c r="DT14" s="2435"/>
      <c r="DU14" s="2435"/>
      <c r="DV14" s="2435"/>
      <c r="DW14" s="2435"/>
      <c r="DX14" s="2435"/>
      <c r="DY14" s="2435"/>
      <c r="DZ14" s="2435"/>
      <c r="EA14" s="2435"/>
      <c r="EB14" s="2435"/>
      <c r="EC14" s="2435"/>
      <c r="ED14" s="2435"/>
      <c r="EE14" s="2435"/>
      <c r="EF14" s="2435"/>
      <c r="EG14" s="2435"/>
      <c r="EH14" s="2435"/>
      <c r="EI14" s="2435"/>
      <c r="EJ14" s="2435"/>
      <c r="EK14" s="2435"/>
      <c r="EL14" s="2435"/>
      <c r="EM14" s="2435"/>
      <c r="EN14" s="2435"/>
      <c r="EO14" s="2435"/>
      <c r="EP14" s="2435"/>
      <c r="EQ14" s="2435"/>
      <c r="ER14" s="2435"/>
      <c r="ES14" s="2435"/>
      <c r="ET14" s="2435"/>
      <c r="EU14" s="2435"/>
      <c r="EV14" s="2435"/>
      <c r="EW14" s="2435"/>
      <c r="EX14" s="2435"/>
      <c r="EY14" s="2435"/>
      <c r="EZ14" s="2435"/>
      <c r="FA14" s="2435"/>
      <c r="FB14" s="2435"/>
      <c r="FC14" s="2435"/>
      <c r="FD14" s="2435"/>
      <c r="FE14" s="2435"/>
      <c r="FF14" s="2435"/>
      <c r="FG14" s="2435"/>
      <c r="FH14" s="2435"/>
      <c r="FI14" s="2435"/>
      <c r="FJ14" s="2435"/>
      <c r="FK14" s="2435"/>
      <c r="FL14" s="2435"/>
      <c r="FM14" s="2435"/>
      <c r="FN14" s="2435"/>
      <c r="FO14" s="2435"/>
      <c r="FP14" s="2435"/>
      <c r="FQ14" s="2435"/>
      <c r="FR14" s="2435"/>
      <c r="FS14" s="2435"/>
      <c r="FT14" s="2435"/>
      <c r="FU14" s="2435"/>
      <c r="FV14" s="2435"/>
      <c r="FW14" s="2449"/>
      <c r="FX14" s="763"/>
      <c r="GC14" s="927">
        <v>36</v>
      </c>
    </row>
    <row customHeight="1" ht="37.8">
      <c r="D15" s="939"/>
      <c r="E15" s="938"/>
      <c r="F15" s="2206"/>
      <c r="G15" s="2206"/>
      <c r="H15" s="2438"/>
      <c r="I15" s="2438"/>
      <c r="J15" s="2439"/>
      <c r="K15" s="2439"/>
      <c r="L15" s="2439"/>
      <c r="M15" s="2439"/>
      <c r="N15" s="2439"/>
      <c r="O15" s="2339"/>
      <c r="P15" s="2436"/>
      <c r="Q15" s="2339"/>
      <c r="R15" s="2436"/>
      <c r="S15" s="2339"/>
      <c r="T15" s="2436"/>
      <c r="U15" s="2339"/>
      <c r="V15" s="2436"/>
      <c r="W15" s="2339"/>
      <c r="X15" s="2436"/>
      <c r="Y15" s="2339"/>
      <c r="Z15" s="2436"/>
      <c r="AA15" s="2339"/>
      <c r="AB15" s="2436"/>
      <c r="AC15" s="2435"/>
      <c r="AD15" s="2435"/>
      <c r="AE15" s="2435"/>
      <c r="AF15" s="2435"/>
      <c r="AG15" s="2435"/>
      <c r="AH15" s="2435"/>
      <c r="AI15" s="2435"/>
      <c r="AJ15" s="2435"/>
      <c r="AK15" s="2435"/>
      <c r="AL15" s="2435"/>
      <c r="AM15" s="2435"/>
      <c r="AN15" s="2435"/>
      <c r="AO15" s="2435"/>
      <c r="AP15" s="2435"/>
      <c r="AQ15" s="2435"/>
      <c r="AR15" s="2435"/>
      <c r="AS15" s="2435"/>
      <c r="AT15" s="2435"/>
      <c r="AU15" s="2435"/>
      <c r="AV15" s="2435"/>
      <c r="AW15" s="2435"/>
      <c r="AX15" s="2435"/>
      <c r="AY15" s="2435"/>
      <c r="AZ15" s="2435"/>
      <c r="BA15" s="2435"/>
      <c r="BB15" s="2435"/>
      <c r="BC15" s="2435"/>
      <c r="BD15" s="2435"/>
      <c r="BE15" s="2435"/>
      <c r="BF15" s="2435"/>
      <c r="BG15" s="2435"/>
      <c r="BH15" s="2435"/>
      <c r="BI15" s="2435"/>
      <c r="BJ15" s="2435"/>
      <c r="BK15" s="2435"/>
      <c r="BL15" s="2435"/>
      <c r="BM15" s="2435"/>
      <c r="BN15" s="2435"/>
      <c r="BO15" s="2435"/>
      <c r="BP15" s="2435"/>
      <c r="BQ15" s="2435"/>
      <c r="BR15" s="2435"/>
      <c r="BS15" s="2454"/>
      <c r="BT15" s="2339"/>
      <c r="BU15" s="2436"/>
      <c r="BV15" s="2339"/>
      <c r="BW15" s="2436"/>
      <c r="BX15" s="2339"/>
      <c r="BY15" s="2436"/>
      <c r="BZ15" s="2339"/>
      <c r="CA15" s="2436"/>
      <c r="CB15" s="2339"/>
      <c r="CC15" s="2436"/>
      <c r="CD15" s="2339"/>
      <c r="CE15" s="2436"/>
      <c r="CF15" s="2339"/>
      <c r="CG15" s="2436"/>
      <c r="CH15" s="2339"/>
      <c r="CI15" s="2436"/>
      <c r="CJ15" s="2339"/>
      <c r="CK15" s="2436"/>
      <c r="CL15" s="2437"/>
      <c r="CM15" s="2435"/>
      <c r="CN15" s="2435"/>
      <c r="CO15" s="2435"/>
      <c r="CP15" s="2435"/>
      <c r="CQ15" s="2435"/>
      <c r="CR15" s="2435"/>
      <c r="CS15" s="2435"/>
      <c r="CT15" s="2435"/>
      <c r="CU15" s="2435"/>
      <c r="CV15" s="2435"/>
      <c r="CW15" s="2435"/>
      <c r="CX15" s="2454"/>
      <c r="CY15" s="2339"/>
      <c r="CZ15" s="2436"/>
      <c r="DA15" s="2339"/>
      <c r="DB15" s="2436"/>
      <c r="DC15" s="2339"/>
      <c r="DD15" s="2436"/>
      <c r="DE15" s="2339"/>
      <c r="DF15" s="2436"/>
      <c r="DG15" s="2339"/>
      <c r="DH15" s="2436"/>
      <c r="DI15" s="2339"/>
      <c r="DJ15" s="2436"/>
      <c r="DK15" s="2437"/>
      <c r="DL15" s="2435"/>
      <c r="DM15" s="2435"/>
      <c r="DN15" s="2435"/>
      <c r="DO15" s="2435"/>
      <c r="DP15" s="2435"/>
      <c r="DQ15" s="2435"/>
      <c r="DR15" s="2435"/>
      <c r="DS15" s="2435"/>
      <c r="DT15" s="2435"/>
      <c r="DU15" s="2435"/>
      <c r="DV15" s="2435"/>
      <c r="DW15" s="2435"/>
      <c r="DX15" s="2435"/>
      <c r="DY15" s="2435"/>
      <c r="DZ15" s="2435"/>
      <c r="EA15" s="2435"/>
      <c r="EB15" s="2435"/>
      <c r="EC15" s="2435"/>
      <c r="ED15" s="2435"/>
      <c r="EE15" s="2435"/>
      <c r="EF15" s="2435"/>
      <c r="EG15" s="2435"/>
      <c r="EH15" s="2435"/>
      <c r="EI15" s="2435"/>
      <c r="EJ15" s="2435"/>
      <c r="EK15" s="2435"/>
      <c r="EL15" s="2435"/>
      <c r="EM15" s="2435"/>
      <c r="EN15" s="2435"/>
      <c r="EO15" s="2435"/>
      <c r="EP15" s="2435"/>
      <c r="EQ15" s="2435"/>
      <c r="ER15" s="2435"/>
      <c r="ES15" s="2435"/>
      <c r="ET15" s="2435"/>
      <c r="EU15" s="2435"/>
      <c r="EV15" s="2435"/>
      <c r="EW15" s="2435"/>
      <c r="EX15" s="2435"/>
      <c r="EY15" s="2435"/>
      <c r="EZ15" s="2435"/>
      <c r="FA15" s="2435"/>
      <c r="FB15" s="2435"/>
      <c r="FC15" s="2435"/>
      <c r="FD15" s="2435"/>
      <c r="FE15" s="2435"/>
      <c r="FF15" s="2435"/>
      <c r="FG15" s="2435"/>
      <c r="FH15" s="2435"/>
      <c r="FI15" s="2435"/>
      <c r="FJ15" s="2435"/>
      <c r="FK15" s="2435"/>
      <c r="FL15" s="2435"/>
      <c r="FM15" s="2435"/>
      <c r="FN15" s="2435"/>
      <c r="FO15" s="2435"/>
      <c r="FP15" s="2435"/>
      <c r="FQ15" s="2435"/>
      <c r="FR15" s="2435"/>
      <c r="FS15" s="2435"/>
      <c r="FT15" s="2435"/>
      <c r="FU15" s="2435"/>
      <c r="FV15" s="2435"/>
      <c r="FW15" s="2449"/>
      <c r="FX15" s="763"/>
      <c r="GC15" s="927">
        <v>36</v>
      </c>
    </row>
    <row customHeight="1" ht="12.75">
      <c r="D16" s="939"/>
      <c r="E16" s="938"/>
      <c r="F16" s="2206"/>
      <c r="G16" s="2206"/>
      <c r="H16" s="2438"/>
      <c r="I16" s="2438"/>
      <c r="J16" s="2439"/>
      <c r="K16" s="2439"/>
      <c r="L16" s="2439"/>
      <c r="M16" s="2439"/>
      <c r="N16" s="2439"/>
      <c r="O16" s="2387" t="s">
        <v>844</v>
      </c>
      <c r="P16" s="2434"/>
      <c r="Q16" s="2387" t="s">
        <v>846</v>
      </c>
      <c r="R16" s="2434"/>
      <c r="S16" s="2387" t="s">
        <v>850</v>
      </c>
      <c r="T16" s="2434"/>
      <c r="U16" s="2387" t="s">
        <v>855</v>
      </c>
      <c r="V16" s="2434"/>
      <c r="W16" s="2387" t="s">
        <v>858</v>
      </c>
      <c r="X16" s="2434"/>
      <c r="Y16" s="2387" t="s">
        <v>862</v>
      </c>
      <c r="Z16" s="2434"/>
      <c r="AA16" s="2387" t="s">
        <v>865</v>
      </c>
      <c r="AB16" s="2434"/>
      <c r="AC16" s="2435"/>
      <c r="AD16" s="2435"/>
      <c r="AE16" s="2435"/>
      <c r="AF16" s="2435"/>
      <c r="AG16" s="2435"/>
      <c r="AH16" s="2435"/>
      <c r="AI16" s="2435"/>
      <c r="AJ16" s="2435"/>
      <c r="AK16" s="2435"/>
      <c r="AL16" s="2435"/>
      <c r="AM16" s="2435"/>
      <c r="AN16" s="2435"/>
      <c r="AO16" s="2435"/>
      <c r="AP16" s="2435"/>
      <c r="AQ16" s="2435"/>
      <c r="AR16" s="2435"/>
      <c r="AS16" s="2435"/>
      <c r="AT16" s="2435"/>
      <c r="AU16" s="2435"/>
      <c r="AV16" s="2435"/>
      <c r="AW16" s="2435"/>
      <c r="AX16" s="2435"/>
      <c r="AY16" s="2435"/>
      <c r="AZ16" s="2435"/>
      <c r="BA16" s="2435"/>
      <c r="BB16" s="2435"/>
      <c r="BC16" s="2435"/>
      <c r="BD16" s="2435"/>
      <c r="BE16" s="2435"/>
      <c r="BF16" s="2435"/>
      <c r="BG16" s="2435"/>
      <c r="BH16" s="2435"/>
      <c r="BI16" s="2435"/>
      <c r="BJ16" s="2435"/>
      <c r="BK16" s="2435"/>
      <c r="BL16" s="2435"/>
      <c r="BM16" s="2435"/>
      <c r="BN16" s="2435"/>
      <c r="BO16" s="2435"/>
      <c r="BP16" s="2435"/>
      <c r="BQ16" s="2435"/>
      <c r="BR16" s="2435"/>
      <c r="BS16" s="2454"/>
      <c r="BT16" s="2387" t="s">
        <v>577</v>
      </c>
      <c r="BU16" s="2434"/>
      <c r="BV16" s="2387" t="s">
        <v>577</v>
      </c>
      <c r="BW16" s="2434"/>
      <c r="BX16" s="2387" t="s">
        <v>577</v>
      </c>
      <c r="BY16" s="2434"/>
      <c r="BZ16" s="2387" t="s">
        <v>577</v>
      </c>
      <c r="CA16" s="2434"/>
      <c r="CB16" s="2387" t="s">
        <v>1127</v>
      </c>
      <c r="CC16" s="2434"/>
      <c r="CD16" s="2387" t="s">
        <v>577</v>
      </c>
      <c r="CE16" s="2434"/>
      <c r="CF16" s="2387" t="s">
        <v>1128</v>
      </c>
      <c r="CG16" s="2434"/>
      <c r="CH16" s="2387" t="s">
        <v>1129</v>
      </c>
      <c r="CI16" s="2434"/>
      <c r="CJ16" s="2387" t="s">
        <v>1129</v>
      </c>
      <c r="CK16" s="2434"/>
      <c r="CL16" s="2437"/>
      <c r="CM16" s="2435"/>
      <c r="CN16" s="2435"/>
      <c r="CO16" s="2435"/>
      <c r="CP16" s="2435"/>
      <c r="CQ16" s="2435"/>
      <c r="CR16" s="2435"/>
      <c r="CS16" s="2435"/>
      <c r="CT16" s="2435"/>
      <c r="CU16" s="2435"/>
      <c r="CV16" s="2435"/>
      <c r="CW16" s="2435"/>
      <c r="CX16" s="2454"/>
      <c r="CY16" s="2337" t="s">
        <v>577</v>
      </c>
      <c r="CZ16" s="2389"/>
      <c r="DA16" s="2337" t="s">
        <v>577</v>
      </c>
      <c r="DB16" s="2389"/>
      <c r="DC16" s="2337" t="s">
        <v>577</v>
      </c>
      <c r="DD16" s="2389"/>
      <c r="DE16" s="2387" t="s">
        <v>1127</v>
      </c>
      <c r="DF16" s="2434"/>
      <c r="DG16" s="2387" t="s">
        <v>1130</v>
      </c>
      <c r="DH16" s="2434"/>
      <c r="DI16" s="2387" t="s">
        <v>1130</v>
      </c>
      <c r="DJ16" s="2434"/>
      <c r="DK16" s="2437"/>
      <c r="DL16" s="2435"/>
      <c r="DM16" s="2435"/>
      <c r="DN16" s="2435"/>
      <c r="DO16" s="2435"/>
      <c r="DP16" s="2435"/>
      <c r="DQ16" s="2435"/>
      <c r="DR16" s="2435"/>
      <c r="DS16" s="2435"/>
      <c r="DT16" s="2435"/>
      <c r="DU16" s="2435"/>
      <c r="DV16" s="2435"/>
      <c r="DW16" s="2435"/>
      <c r="DX16" s="2435"/>
      <c r="DY16" s="2435"/>
      <c r="DZ16" s="2435"/>
      <c r="EA16" s="2435"/>
      <c r="EB16" s="2435"/>
      <c r="EC16" s="2435"/>
      <c r="ED16" s="2435"/>
      <c r="EE16" s="2435"/>
      <c r="EF16" s="2435"/>
      <c r="EG16" s="2435"/>
      <c r="EH16" s="2435"/>
      <c r="EI16" s="2435"/>
      <c r="EJ16" s="2435"/>
      <c r="EK16" s="2435"/>
      <c r="EL16" s="2435"/>
      <c r="EM16" s="2435"/>
      <c r="EN16" s="2435"/>
      <c r="EO16" s="2435"/>
      <c r="EP16" s="2435"/>
      <c r="EQ16" s="2435"/>
      <c r="ER16" s="2435"/>
      <c r="ES16" s="2435"/>
      <c r="ET16" s="2435"/>
      <c r="EU16" s="2435"/>
      <c r="EV16" s="2435"/>
      <c r="EW16" s="2435"/>
      <c r="EX16" s="2435"/>
      <c r="EY16" s="2435"/>
      <c r="EZ16" s="2435"/>
      <c r="FA16" s="2435"/>
      <c r="FB16" s="2435"/>
      <c r="FC16" s="2435"/>
      <c r="FD16" s="2435"/>
      <c r="FE16" s="2435"/>
      <c r="FF16" s="2435"/>
      <c r="FG16" s="2435"/>
      <c r="FH16" s="2435"/>
      <c r="FI16" s="2435"/>
      <c r="FJ16" s="2435"/>
      <c r="FK16" s="2435"/>
      <c r="FL16" s="2435"/>
      <c r="FM16" s="2435"/>
      <c r="FN16" s="2435"/>
      <c r="FO16" s="2435"/>
      <c r="FP16" s="2435"/>
      <c r="FQ16" s="2435"/>
      <c r="FR16" s="2435"/>
      <c r="FS16" s="2435"/>
      <c r="FT16" s="2435"/>
      <c r="FU16" s="2435"/>
      <c r="FV16" s="2435"/>
      <c r="FW16" s="2449"/>
      <c r="FX16" s="763"/>
      <c r="GC16" s="927">
        <v>12</v>
      </c>
    </row>
    <row customHeight="1" ht="15.75">
      <c r="E17" s="938"/>
      <c r="F17" s="2206"/>
      <c r="G17" s="2206"/>
      <c r="H17" s="2438"/>
      <c r="I17" s="2438"/>
      <c r="J17" s="2439"/>
      <c r="K17" s="2439"/>
      <c r="L17" s="2439"/>
      <c r="M17" s="2439"/>
      <c r="N17" s="2439"/>
      <c r="O17" s="1192" t="s">
        <v>1131</v>
      </c>
      <c r="P17" s="1192" t="s">
        <v>1132</v>
      </c>
      <c r="Q17" s="1192" t="s">
        <v>1131</v>
      </c>
      <c r="R17" s="1192" t="s">
        <v>1132</v>
      </c>
      <c r="S17" s="1192" t="s">
        <v>1131</v>
      </c>
      <c r="T17" s="1192" t="s">
        <v>1132</v>
      </c>
      <c r="U17" s="1192" t="s">
        <v>1131</v>
      </c>
      <c r="V17" s="1192" t="s">
        <v>1132</v>
      </c>
      <c r="W17" s="1192" t="s">
        <v>1131</v>
      </c>
      <c r="X17" s="1192" t="s">
        <v>1132</v>
      </c>
      <c r="Y17" s="1192" t="s">
        <v>1131</v>
      </c>
      <c r="Z17" s="1192" t="s">
        <v>1132</v>
      </c>
      <c r="AA17" s="1192" t="s">
        <v>1131</v>
      </c>
      <c r="AB17" s="1192" t="s">
        <v>1132</v>
      </c>
      <c r="AC17" s="2435"/>
      <c r="AD17" s="2435"/>
      <c r="AE17" s="2435"/>
      <c r="AF17" s="2435"/>
      <c r="AG17" s="2435"/>
      <c r="AH17" s="2435"/>
      <c r="AI17" s="2435"/>
      <c r="AJ17" s="2435"/>
      <c r="AK17" s="2435"/>
      <c r="AL17" s="2435"/>
      <c r="AM17" s="2435"/>
      <c r="AN17" s="2435"/>
      <c r="AO17" s="2435"/>
      <c r="AP17" s="2435"/>
      <c r="AQ17" s="2435"/>
      <c r="AR17" s="2435"/>
      <c r="AS17" s="2435"/>
      <c r="AT17" s="2435"/>
      <c r="AU17" s="2435"/>
      <c r="AV17" s="2435"/>
      <c r="AW17" s="2435"/>
      <c r="AX17" s="2435"/>
      <c r="AY17" s="2435"/>
      <c r="AZ17" s="2435"/>
      <c r="BA17" s="2435"/>
      <c r="BB17" s="2435"/>
      <c r="BC17" s="2435"/>
      <c r="BD17" s="2435"/>
      <c r="BE17" s="2435"/>
      <c r="BF17" s="2435"/>
      <c r="BG17" s="2435"/>
      <c r="BH17" s="2435"/>
      <c r="BI17" s="2435"/>
      <c r="BJ17" s="2435"/>
      <c r="BK17" s="2435"/>
      <c r="BL17" s="2435"/>
      <c r="BM17" s="2435"/>
      <c r="BN17" s="2435"/>
      <c r="BO17" s="2435"/>
      <c r="BP17" s="2435"/>
      <c r="BQ17" s="2435"/>
      <c r="BR17" s="2435"/>
      <c r="BS17" s="2454"/>
      <c r="BT17" s="1192" t="s">
        <v>1131</v>
      </c>
      <c r="BU17" s="1192" t="s">
        <v>1132</v>
      </c>
      <c r="BV17" s="1192" t="s">
        <v>1131</v>
      </c>
      <c r="BW17" s="1192" t="s">
        <v>1132</v>
      </c>
      <c r="BX17" s="1192" t="s">
        <v>1131</v>
      </c>
      <c r="BY17" s="1192" t="s">
        <v>1132</v>
      </c>
      <c r="BZ17" s="1192" t="s">
        <v>1131</v>
      </c>
      <c r="CA17" s="1192" t="s">
        <v>1132</v>
      </c>
      <c r="CB17" s="1192" t="s">
        <v>1131</v>
      </c>
      <c r="CC17" s="1192" t="s">
        <v>1132</v>
      </c>
      <c r="CD17" s="1192" t="s">
        <v>1131</v>
      </c>
      <c r="CE17" s="1192" t="s">
        <v>1132</v>
      </c>
      <c r="CF17" s="1192" t="s">
        <v>1131</v>
      </c>
      <c r="CG17" s="1192" t="s">
        <v>1132</v>
      </c>
      <c r="CH17" s="1192" t="s">
        <v>1131</v>
      </c>
      <c r="CI17" s="1192" t="s">
        <v>1132</v>
      </c>
      <c r="CJ17" s="1192" t="s">
        <v>1131</v>
      </c>
      <c r="CK17" s="1192" t="s">
        <v>1132</v>
      </c>
      <c r="CL17" s="2437"/>
      <c r="CM17" s="2435"/>
      <c r="CN17" s="2435"/>
      <c r="CO17" s="2435"/>
      <c r="CP17" s="2435"/>
      <c r="CQ17" s="2435"/>
      <c r="CR17" s="2435"/>
      <c r="CS17" s="2435"/>
      <c r="CT17" s="2435"/>
      <c r="CU17" s="2435"/>
      <c r="CV17" s="2435"/>
      <c r="CW17" s="2435"/>
      <c r="CX17" s="2454"/>
      <c r="CY17" s="1192" t="s">
        <v>1131</v>
      </c>
      <c r="CZ17" s="1192" t="s">
        <v>1132</v>
      </c>
      <c r="DA17" s="1192" t="s">
        <v>1131</v>
      </c>
      <c r="DB17" s="1192" t="s">
        <v>1132</v>
      </c>
      <c r="DC17" s="1192" t="s">
        <v>1131</v>
      </c>
      <c r="DD17" s="1192" t="s">
        <v>1132</v>
      </c>
      <c r="DE17" s="1192" t="s">
        <v>1131</v>
      </c>
      <c r="DF17" s="1192" t="s">
        <v>1132</v>
      </c>
      <c r="DG17" s="1192" t="s">
        <v>1131</v>
      </c>
      <c r="DH17" s="1192" t="s">
        <v>1132</v>
      </c>
      <c r="DI17" s="1192" t="s">
        <v>1131</v>
      </c>
      <c r="DJ17" s="1192" t="s">
        <v>1132</v>
      </c>
      <c r="DK17" s="2437"/>
      <c r="DL17" s="2435"/>
      <c r="DM17" s="2435"/>
      <c r="DN17" s="2435"/>
      <c r="DO17" s="2435"/>
      <c r="DP17" s="2435"/>
      <c r="DQ17" s="2435"/>
      <c r="DR17" s="2435"/>
      <c r="DS17" s="2435"/>
      <c r="DT17" s="2435"/>
      <c r="DU17" s="2435"/>
      <c r="DV17" s="2435"/>
      <c r="DW17" s="2435"/>
      <c r="DX17" s="2435"/>
      <c r="DY17" s="2435"/>
      <c r="DZ17" s="2435"/>
      <c r="EA17" s="2435"/>
      <c r="EB17" s="2435"/>
      <c r="EC17" s="2435"/>
      <c r="ED17" s="2435"/>
      <c r="EE17" s="2435"/>
      <c r="EF17" s="2435"/>
      <c r="EG17" s="2435"/>
      <c r="EH17" s="2435"/>
      <c r="EI17" s="2435"/>
      <c r="EJ17" s="2435"/>
      <c r="EK17" s="2435"/>
      <c r="EL17" s="2435"/>
      <c r="EM17" s="2435"/>
      <c r="EN17" s="2435"/>
      <c r="EO17" s="2435"/>
      <c r="EP17" s="2435"/>
      <c r="EQ17" s="2435"/>
      <c r="ER17" s="2435"/>
      <c r="ES17" s="2435"/>
      <c r="ET17" s="2435"/>
      <c r="EU17" s="2435"/>
      <c r="EV17" s="2435"/>
      <c r="EW17" s="2435"/>
      <c r="EX17" s="2435"/>
      <c r="EY17" s="2435"/>
      <c r="EZ17" s="2435"/>
      <c r="FA17" s="2435"/>
      <c r="FB17" s="2435"/>
      <c r="FC17" s="2435"/>
      <c r="FD17" s="2435"/>
      <c r="FE17" s="2435"/>
      <c r="FF17" s="2435"/>
      <c r="FG17" s="2435"/>
      <c r="FH17" s="2435"/>
      <c r="FI17" s="2435"/>
      <c r="FJ17" s="2435"/>
      <c r="FK17" s="2435"/>
      <c r="FL17" s="2435"/>
      <c r="FM17" s="2435"/>
      <c r="FN17" s="2435"/>
      <c r="FO17" s="2435"/>
      <c r="FP17" s="2435"/>
      <c r="FQ17" s="2435"/>
      <c r="FR17" s="2435"/>
      <c r="FS17" s="2435"/>
      <c r="FT17" s="2435"/>
      <c r="FU17" s="2435"/>
      <c r="FV17" s="2435"/>
      <c r="FW17" s="2450"/>
      <c r="FX17" s="763"/>
      <c r="GC17" s="927">
        <v>15</v>
      </c>
    </row>
    <row s="926" customFormat="1" customHeight="1" ht="12" hidden="1">
      <c r="B18" s="924"/>
      <c r="E18" s="940"/>
      <c r="F18" s="1193"/>
      <c r="G18" s="1193"/>
      <c r="H18" s="1193"/>
      <c r="I18" s="1193"/>
      <c r="J18" s="1194"/>
      <c r="K18" s="1194"/>
      <c r="L18" s="1194"/>
      <c r="M18" s="1194"/>
      <c r="N18" s="1194"/>
      <c r="O18" s="1193"/>
      <c r="P18" s="1193"/>
      <c r="Q18" s="1193"/>
      <c r="R18" s="1193"/>
      <c r="S18" s="1193"/>
      <c r="T18" s="1193"/>
      <c r="U18" s="1195"/>
      <c r="V18" s="1195"/>
      <c r="W18" s="1195"/>
      <c r="X18" s="1195"/>
      <c r="Y18" s="1195"/>
      <c r="Z18" s="1195"/>
      <c r="AA18" s="1195"/>
      <c r="AB18" s="1193"/>
      <c r="AC18" s="1194"/>
      <c r="AD18" s="1194"/>
      <c r="AE18" s="1194"/>
      <c r="AF18" s="1194"/>
      <c r="AG18" s="1194"/>
      <c r="AH18" s="1194"/>
      <c r="AI18" s="1194"/>
      <c r="AJ18" s="1194"/>
      <c r="AK18" s="1194"/>
      <c r="AL18" s="1194"/>
      <c r="AM18" s="1194"/>
      <c r="AN18" s="1194"/>
      <c r="AO18" s="1194"/>
      <c r="AP18" s="1194"/>
      <c r="AQ18" s="1194"/>
      <c r="AR18" s="1194"/>
      <c r="AS18" s="1194"/>
      <c r="AT18" s="1194"/>
      <c r="AU18" s="1194"/>
      <c r="AV18" s="1194"/>
      <c r="AW18" s="1194"/>
      <c r="AX18" s="1194"/>
      <c r="AY18" s="1194"/>
      <c r="AZ18" s="1194"/>
      <c r="BA18" s="1194"/>
      <c r="BB18" s="1194"/>
      <c r="BC18" s="1194"/>
      <c r="BD18" s="1194"/>
      <c r="BE18" s="1194"/>
      <c r="BF18" s="1194"/>
      <c r="BG18" s="1194"/>
      <c r="BH18" s="1194"/>
      <c r="BI18" s="1194"/>
      <c r="BJ18" s="1194"/>
      <c r="BK18" s="1194"/>
      <c r="BL18" s="1194"/>
      <c r="BM18" s="1194"/>
      <c r="BN18" s="1194"/>
      <c r="BO18" s="1194"/>
      <c r="BP18" s="1194"/>
      <c r="BQ18" s="1194"/>
      <c r="BR18" s="1194"/>
      <c r="BS18" s="1194"/>
      <c r="BT18" s="1196"/>
      <c r="BU18" s="1196"/>
      <c r="BV18" s="1196"/>
      <c r="BW18" s="1196"/>
      <c r="BX18" s="1196"/>
      <c r="BY18" s="1196"/>
      <c r="BZ18" s="1196"/>
      <c r="CA18" s="1196"/>
      <c r="CB18" s="1196"/>
      <c r="CC18" s="1196"/>
      <c r="CD18" s="1196"/>
      <c r="CE18" s="1196"/>
      <c r="CF18" s="1196"/>
      <c r="CG18" s="1196"/>
      <c r="CH18" s="1196"/>
      <c r="CI18" s="1196"/>
      <c r="CJ18" s="1196"/>
      <c r="CK18" s="1196"/>
      <c r="CL18" s="1194"/>
      <c r="CM18" s="1194"/>
      <c r="CN18" s="1194"/>
      <c r="CO18" s="1194"/>
      <c r="CP18" s="1194"/>
      <c r="CQ18" s="1194"/>
      <c r="CR18" s="1194"/>
      <c r="CS18" s="1194"/>
      <c r="CT18" s="1194"/>
      <c r="CU18" s="1194"/>
      <c r="CV18" s="1194"/>
      <c r="CW18" s="1194"/>
      <c r="CX18" s="1194"/>
      <c r="CY18" s="1196"/>
      <c r="CZ18" s="1196"/>
      <c r="DA18" s="1196"/>
      <c r="DB18" s="1196"/>
      <c r="DC18" s="1196"/>
      <c r="DD18" s="1196"/>
      <c r="DE18" s="1196"/>
      <c r="DF18" s="1196"/>
      <c r="DG18" s="1196"/>
      <c r="DH18" s="1196"/>
      <c r="DI18" s="1196"/>
      <c r="DJ18" s="1196"/>
      <c r="DK18" s="1194"/>
      <c r="DL18" s="1194"/>
      <c r="DM18" s="1194"/>
      <c r="DN18" s="1194"/>
      <c r="DO18" s="1194"/>
      <c r="DP18" s="1194"/>
      <c r="DQ18" s="1194"/>
      <c r="DR18" s="1194"/>
      <c r="DS18" s="1194"/>
      <c r="DT18" s="1194"/>
      <c r="DU18" s="1194"/>
      <c r="DV18" s="1194"/>
      <c r="DW18" s="1194"/>
      <c r="DX18" s="1194"/>
      <c r="DY18" s="1194"/>
      <c r="DZ18" s="1194"/>
      <c r="EA18" s="1194"/>
      <c r="EB18" s="1194"/>
      <c r="EC18" s="1194"/>
      <c r="ED18" s="1194"/>
      <c r="EE18" s="1194"/>
      <c r="EF18" s="1194"/>
      <c r="EG18" s="1194"/>
      <c r="EH18" s="1194"/>
      <c r="EI18" s="1194"/>
      <c r="EJ18" s="1194"/>
      <c r="EK18" s="1194"/>
      <c r="EL18" s="1194"/>
      <c r="EM18" s="1194"/>
      <c r="EN18" s="1194"/>
      <c r="EO18" s="1194"/>
      <c r="EP18" s="1194"/>
      <c r="EQ18" s="1194"/>
      <c r="ER18" s="1194"/>
      <c r="ES18" s="1194"/>
      <c r="ET18" s="1194"/>
      <c r="EU18" s="1194"/>
      <c r="EV18" s="1194"/>
      <c r="EW18" s="1194"/>
      <c r="EX18" s="1194"/>
      <c r="EY18" s="1194"/>
      <c r="EZ18" s="1194"/>
      <c r="FA18" s="1194"/>
      <c r="FB18" s="1194"/>
      <c r="FC18" s="1194"/>
      <c r="FD18" s="1194"/>
      <c r="FE18" s="1194"/>
      <c r="FF18" s="1194"/>
      <c r="FG18" s="1194"/>
      <c r="FH18" s="1194"/>
      <c r="FI18" s="1194"/>
      <c r="FJ18" s="1194"/>
      <c r="FK18" s="1194"/>
      <c r="FL18" s="1194"/>
      <c r="FM18" s="1194"/>
      <c r="FN18" s="1194"/>
      <c r="FO18" s="1194"/>
      <c r="FP18" s="1194"/>
      <c r="FQ18" s="1194"/>
      <c r="FR18" s="1194"/>
      <c r="FS18" s="1194"/>
      <c r="FT18" s="1194"/>
      <c r="FU18" s="1194"/>
      <c r="FV18" s="1194"/>
      <c r="FW18" s="1193"/>
      <c r="FX18" s="1197"/>
      <c r="GC18" s="925">
        <v>0</v>
      </c>
    </row>
    <row s="926" customFormat="1" customHeight="1" ht="11.25" hidden="1">
      <c r="B19" s="924"/>
      <c r="E19" s="940"/>
      <c r="F19" s="1193"/>
      <c r="G19" s="1193"/>
      <c r="H19" s="1193"/>
      <c r="I19" s="1193"/>
      <c r="J19" s="1193"/>
      <c r="K19" s="1193"/>
      <c r="L19" s="1193"/>
      <c r="M19" s="1193"/>
      <c r="N19" s="1193"/>
      <c r="O19" s="1193"/>
      <c r="P19" s="1193"/>
      <c r="Q19" s="1193"/>
      <c r="R19" s="1193"/>
      <c r="S19" s="1193"/>
      <c r="T19" s="1193"/>
      <c r="U19" s="1195"/>
      <c r="V19" s="1195"/>
      <c r="W19" s="1195"/>
      <c r="X19" s="1195"/>
      <c r="Y19" s="1195"/>
      <c r="Z19" s="1195"/>
      <c r="AA19" s="1195"/>
      <c r="AB19" s="1193"/>
      <c r="AC19" s="1193"/>
      <c r="AD19" s="1193"/>
      <c r="AE19" s="1193"/>
      <c r="AF19" s="1193"/>
      <c r="AG19" s="1193"/>
      <c r="AH19" s="1193"/>
      <c r="AI19" s="1193"/>
      <c r="AJ19" s="1193"/>
      <c r="AK19" s="1193"/>
      <c r="AL19" s="1193"/>
      <c r="AM19" s="1193"/>
      <c r="AN19" s="1193"/>
      <c r="AO19" s="1193"/>
      <c r="AP19" s="1193"/>
      <c r="AQ19" s="1193"/>
      <c r="AR19" s="1193"/>
      <c r="AS19" s="1193"/>
      <c r="AT19" s="1193"/>
      <c r="AU19" s="1193"/>
      <c r="AV19" s="1193"/>
      <c r="AW19" s="1193"/>
      <c r="AX19" s="1193"/>
      <c r="AY19" s="1193"/>
      <c r="AZ19" s="1193"/>
      <c r="BA19" s="1193"/>
      <c r="BB19" s="1193"/>
      <c r="BC19" s="1193"/>
      <c r="BD19" s="1193"/>
      <c r="BE19" s="1193"/>
      <c r="BF19" s="1193"/>
      <c r="BG19" s="1193"/>
      <c r="BH19" s="1193"/>
      <c r="BI19" s="1193"/>
      <c r="BJ19" s="1193"/>
      <c r="BK19" s="1193"/>
      <c r="BL19" s="1193"/>
      <c r="BM19" s="1193"/>
      <c r="BN19" s="1193"/>
      <c r="BO19" s="1193"/>
      <c r="BP19" s="1193"/>
      <c r="BQ19" s="1193"/>
      <c r="BR19" s="1193"/>
      <c r="BS19" s="1193"/>
      <c r="BT19" s="1193"/>
      <c r="BU19" s="1193"/>
      <c r="BV19" s="1193"/>
      <c r="BW19" s="1193"/>
      <c r="BX19" s="1193"/>
      <c r="BY19" s="1193"/>
      <c r="BZ19" s="1193"/>
      <c r="CA19" s="1193"/>
      <c r="CB19" s="1193"/>
      <c r="CC19" s="1193"/>
      <c r="CD19" s="1193"/>
      <c r="CE19" s="1193"/>
      <c r="CF19" s="1193"/>
      <c r="CG19" s="1193"/>
      <c r="CH19" s="1193"/>
      <c r="CI19" s="1193"/>
      <c r="CJ19" s="1193"/>
      <c r="CK19" s="1193"/>
      <c r="CL19" s="1193"/>
      <c r="CM19" s="1193"/>
      <c r="CN19" s="1193"/>
      <c r="CO19" s="1193"/>
      <c r="CP19" s="1193"/>
      <c r="CQ19" s="1193"/>
      <c r="CR19" s="1193"/>
      <c r="CS19" s="1193"/>
      <c r="CT19" s="1193"/>
      <c r="CU19" s="1193"/>
      <c r="CV19" s="1193"/>
      <c r="CW19" s="1193"/>
      <c r="CX19" s="1193"/>
      <c r="CY19" s="1193"/>
      <c r="CZ19" s="1193"/>
      <c r="DA19" s="1193"/>
      <c r="DB19" s="1193"/>
      <c r="DC19" s="1193"/>
      <c r="DD19" s="1193"/>
      <c r="DE19" s="1193"/>
      <c r="DF19" s="1193"/>
      <c r="DG19" s="1193"/>
      <c r="DH19" s="1193"/>
      <c r="DI19" s="1193"/>
      <c r="DJ19" s="1193"/>
      <c r="DK19" s="1193"/>
      <c r="DL19" s="1193"/>
      <c r="DM19" s="1193"/>
      <c r="DN19" s="1193"/>
      <c r="DO19" s="1193"/>
      <c r="DP19" s="1193"/>
      <c r="DQ19" s="1193"/>
      <c r="DR19" s="1193"/>
      <c r="DS19" s="1193"/>
      <c r="DT19" s="1193"/>
      <c r="DU19" s="1193"/>
      <c r="DV19" s="1193"/>
      <c r="DW19" s="1193"/>
      <c r="DX19" s="1193"/>
      <c r="DY19" s="1193"/>
      <c r="DZ19" s="1193"/>
      <c r="EA19" s="1193"/>
      <c r="EB19" s="1193"/>
      <c r="EC19" s="1193"/>
      <c r="ED19" s="1193"/>
      <c r="EE19" s="1193"/>
      <c r="EF19" s="1193"/>
      <c r="EG19" s="1193"/>
      <c r="EH19" s="1193"/>
      <c r="EI19" s="1193"/>
      <c r="EJ19" s="1193"/>
      <c r="EK19" s="1193"/>
      <c r="EL19" s="1193"/>
      <c r="EM19" s="1193"/>
      <c r="EN19" s="1193"/>
      <c r="EO19" s="1193"/>
      <c r="EP19" s="1193"/>
      <c r="EQ19" s="1193"/>
      <c r="ER19" s="1193"/>
      <c r="ES19" s="1193"/>
      <c r="ET19" s="1193"/>
      <c r="EU19" s="1193"/>
      <c r="EV19" s="1193"/>
      <c r="EW19" s="1193"/>
      <c r="EX19" s="1193"/>
      <c r="EY19" s="1193"/>
      <c r="EZ19" s="1193"/>
      <c r="FA19" s="1193"/>
      <c r="FB19" s="1193"/>
      <c r="FC19" s="1193"/>
      <c r="FD19" s="1193"/>
      <c r="FE19" s="1193"/>
      <c r="FF19" s="1193"/>
      <c r="FG19" s="1193"/>
      <c r="FH19" s="1193"/>
      <c r="FI19" s="1193"/>
      <c r="FJ19" s="1193"/>
      <c r="FK19" s="1193"/>
      <c r="FL19" s="1193"/>
      <c r="FM19" s="1193"/>
      <c r="FN19" s="1193"/>
      <c r="FO19" s="1193"/>
      <c r="FP19" s="1193"/>
      <c r="FQ19" s="1193"/>
      <c r="FR19" s="1193"/>
      <c r="FS19" s="1193"/>
      <c r="FT19" s="1193"/>
      <c r="FU19" s="1193"/>
      <c r="FV19" s="1193"/>
      <c r="FW19" s="1193"/>
      <c r="FX19" s="1197"/>
      <c r="GC19" s="925">
        <v>0</v>
      </c>
    </row>
    <row s="926" customFormat="1" customHeight="1" ht="11.25" hidden="1">
      <c r="B20" s="941"/>
      <c r="D20" s="925"/>
      <c r="E20" s="940"/>
      <c r="F20" s="1198" t="s">
        <v>393</v>
      </c>
      <c r="G20" s="1199"/>
      <c r="H20" s="1200"/>
      <c r="I20" s="1200"/>
      <c r="J20" s="1200"/>
      <c r="K20" s="1200"/>
      <c r="L20" s="1200"/>
      <c r="M20" s="1200"/>
      <c r="N20" s="1200"/>
      <c r="O20" s="1199"/>
      <c r="P20" s="1199"/>
      <c r="Q20" s="1199"/>
      <c r="R20" s="1199"/>
      <c r="S20" s="1199"/>
      <c r="T20" s="1199"/>
      <c r="U20" s="1201"/>
      <c r="V20" s="1201"/>
      <c r="W20" s="1201"/>
      <c r="X20" s="1201"/>
      <c r="Y20" s="1201"/>
      <c r="Z20" s="1201"/>
      <c r="AA20" s="1201"/>
      <c r="AB20" s="1199"/>
      <c r="AC20" s="1200"/>
      <c r="AD20" s="1200"/>
      <c r="AE20" s="1200"/>
      <c r="AF20" s="1200"/>
      <c r="AG20" s="1200"/>
      <c r="AH20" s="1200"/>
      <c r="AI20" s="1200"/>
      <c r="AJ20" s="1200"/>
      <c r="AK20" s="1200"/>
      <c r="AL20" s="1200"/>
      <c r="AM20" s="1200"/>
      <c r="AN20" s="1200"/>
      <c r="AO20" s="1200"/>
      <c r="AP20" s="1200"/>
      <c r="AQ20" s="1200"/>
      <c r="AR20" s="1200"/>
      <c r="AS20" s="1200"/>
      <c r="AT20" s="1200"/>
      <c r="AU20" s="1200"/>
      <c r="AV20" s="1200"/>
      <c r="AW20" s="1200"/>
      <c r="AX20" s="1200"/>
      <c r="AY20" s="1200"/>
      <c r="AZ20" s="1200"/>
      <c r="BA20" s="1200"/>
      <c r="BB20" s="1200"/>
      <c r="BC20" s="1200"/>
      <c r="BD20" s="1200"/>
      <c r="BE20" s="1200"/>
      <c r="BF20" s="1200"/>
      <c r="BG20" s="1200"/>
      <c r="BH20" s="1200"/>
      <c r="BI20" s="1200"/>
      <c r="BJ20" s="1200"/>
      <c r="BK20" s="1200"/>
      <c r="BL20" s="1200"/>
      <c r="BM20" s="1200"/>
      <c r="BN20" s="1200"/>
      <c r="BO20" s="1200"/>
      <c r="BP20" s="1200"/>
      <c r="BQ20" s="1200"/>
      <c r="BR20" s="1200"/>
      <c r="BS20" s="1200"/>
      <c r="BT20" s="1200"/>
      <c r="BU20" s="1200"/>
      <c r="BV20" s="1200"/>
      <c r="BW20" s="1200"/>
      <c r="BX20" s="1200"/>
      <c r="BY20" s="1200"/>
      <c r="BZ20" s="1200"/>
      <c r="CA20" s="1200"/>
      <c r="CB20" s="1200"/>
      <c r="CC20" s="1200"/>
      <c r="CD20" s="1200"/>
      <c r="CE20" s="1200"/>
      <c r="CF20" s="1200"/>
      <c r="CG20" s="1200"/>
      <c r="CH20" s="1200"/>
      <c r="CI20" s="1200"/>
      <c r="CJ20" s="1200"/>
      <c r="CK20" s="1200"/>
      <c r="CL20" s="1202"/>
      <c r="CM20" s="1202"/>
      <c r="CN20" s="1202"/>
      <c r="CO20" s="1202"/>
      <c r="CP20" s="1202"/>
      <c r="CQ20" s="1202"/>
      <c r="CR20" s="1202"/>
      <c r="CS20" s="1202"/>
      <c r="CT20" s="1202"/>
      <c r="CU20" s="1202"/>
      <c r="CV20" s="1202"/>
      <c r="CW20" s="1202"/>
      <c r="CX20" s="1202"/>
      <c r="CY20" s="1202"/>
      <c r="CZ20" s="1202"/>
      <c r="DA20" s="1202"/>
      <c r="DB20" s="1202"/>
      <c r="DC20" s="1202"/>
      <c r="DD20" s="1202"/>
      <c r="DE20" s="1202"/>
      <c r="DF20" s="1202"/>
      <c r="DG20" s="1202"/>
      <c r="DH20" s="1202"/>
      <c r="DI20" s="1202"/>
      <c r="DJ20" s="1202"/>
      <c r="DK20" s="1202"/>
      <c r="DL20" s="1202"/>
      <c r="DM20" s="1202"/>
      <c r="DN20" s="1202"/>
      <c r="DO20" s="1202"/>
      <c r="DP20" s="1202"/>
      <c r="DQ20" s="1202"/>
      <c r="DR20" s="1202"/>
      <c r="DS20" s="1202"/>
      <c r="DT20" s="1202"/>
      <c r="DU20" s="1202"/>
      <c r="DV20" s="1202"/>
      <c r="DW20" s="1202"/>
      <c r="DX20" s="1202"/>
      <c r="DY20" s="1202"/>
      <c r="DZ20" s="1202"/>
      <c r="EA20" s="1202"/>
      <c r="EB20" s="1202"/>
      <c r="EC20" s="1202"/>
      <c r="ED20" s="1202"/>
      <c r="EE20" s="1202"/>
      <c r="EF20" s="1202"/>
      <c r="EG20" s="1202"/>
      <c r="EH20" s="1202"/>
      <c r="EI20" s="1202"/>
      <c r="EJ20" s="1202"/>
      <c r="EK20" s="1202"/>
      <c r="EL20" s="1202"/>
      <c r="EM20" s="1202"/>
      <c r="EN20" s="1202"/>
      <c r="EO20" s="1202"/>
      <c r="EP20" s="1202"/>
      <c r="EQ20" s="1202"/>
      <c r="ER20" s="1202"/>
      <c r="ES20" s="1202"/>
      <c r="ET20" s="1202"/>
      <c r="EU20" s="1202"/>
      <c r="EV20" s="1202"/>
      <c r="EW20" s="1202"/>
      <c r="EX20" s="1202"/>
      <c r="EY20" s="1202"/>
      <c r="EZ20" s="1202"/>
      <c r="FA20" s="1202"/>
      <c r="FB20" s="1202"/>
      <c r="FC20" s="1202"/>
      <c r="FD20" s="1202"/>
      <c r="FE20" s="1202"/>
      <c r="FF20" s="1202"/>
      <c r="FG20" s="1202"/>
      <c r="FH20" s="1202"/>
      <c r="FI20" s="1202"/>
      <c r="FJ20" s="1202"/>
      <c r="FK20" s="1202"/>
      <c r="FL20" s="1202"/>
      <c r="FM20" s="1202"/>
      <c r="FN20" s="1202"/>
      <c r="FO20" s="1202"/>
      <c r="FP20" s="1202"/>
      <c r="FQ20" s="1202"/>
      <c r="FR20" s="1202"/>
      <c r="FS20" s="1202"/>
      <c r="FT20" s="1202"/>
      <c r="FU20" s="1202"/>
      <c r="FV20" s="1202"/>
      <c r="FW20" s="1202"/>
      <c r="FX20" s="1203"/>
      <c r="GC20" s="923">
        <v>0</v>
      </c>
    </row>
    <row s="926" customFormat="1" customHeight="1" ht="12.75">
      <c r="A21" s="942"/>
      <c r="B21" s="942"/>
      <c r="C21" s="942"/>
      <c r="D21" s="942"/>
      <c r="E21" s="942"/>
      <c r="F21" s="940"/>
      <c r="G21" s="940"/>
      <c r="H21" s="940"/>
      <c r="I21" s="940"/>
      <c r="J21" s="940"/>
      <c r="K21" s="940"/>
      <c r="L21" s="940"/>
      <c r="M21" s="940"/>
      <c r="N21" s="940"/>
      <c r="O21" s="940"/>
      <c r="P21" s="940"/>
      <c r="Q21" s="940"/>
      <c r="R21" s="940"/>
      <c r="S21" s="943"/>
      <c r="T21" s="943"/>
      <c r="U21" s="940"/>
      <c r="V21" s="940"/>
      <c r="W21" s="940"/>
      <c r="X21" s="940"/>
      <c r="Y21" s="940"/>
      <c r="Z21" s="940"/>
      <c r="AA21" s="940"/>
      <c r="AB21" s="940"/>
      <c r="AC21" s="940"/>
      <c r="AD21" s="940"/>
      <c r="AE21" s="940"/>
      <c r="AF21" s="940"/>
      <c r="AG21" s="940"/>
      <c r="AH21" s="940"/>
      <c r="AI21" s="940"/>
      <c r="AJ21" s="940"/>
      <c r="AK21" s="940"/>
      <c r="AL21" s="940"/>
      <c r="AM21" s="940"/>
      <c r="AN21" s="940"/>
      <c r="AO21" s="940"/>
      <c r="AP21" s="940"/>
      <c r="AQ21" s="940"/>
      <c r="AR21" s="940"/>
      <c r="AS21" s="940"/>
      <c r="AT21" s="940"/>
      <c r="AU21" s="940"/>
      <c r="AV21" s="940"/>
      <c r="AW21" s="940"/>
      <c r="AX21" s="940"/>
      <c r="AY21" s="940"/>
      <c r="AZ21" s="940"/>
      <c r="BA21" s="940"/>
      <c r="BB21" s="940"/>
      <c r="BC21" s="940"/>
      <c r="BD21" s="940"/>
      <c r="BE21" s="940"/>
      <c r="BF21" s="940"/>
      <c r="BG21" s="940"/>
      <c r="BH21" s="940"/>
      <c r="BI21" s="940"/>
      <c r="BJ21" s="940"/>
      <c r="BK21" s="940"/>
      <c r="BL21" s="940"/>
      <c r="BM21" s="940"/>
      <c r="BN21" s="940"/>
      <c r="BO21" s="940"/>
      <c r="BP21" s="940"/>
      <c r="BQ21" s="940"/>
      <c r="BR21" s="940"/>
      <c r="BS21" s="940"/>
      <c r="BT21" s="940"/>
      <c r="BU21" s="940"/>
      <c r="BV21" s="940"/>
      <c r="BW21" s="940"/>
      <c r="BX21" s="940"/>
      <c r="BY21" s="940"/>
      <c r="BZ21" s="940"/>
      <c r="CA21" s="940"/>
      <c r="CB21" s="940"/>
      <c r="CC21" s="940"/>
      <c r="CD21" s="940"/>
      <c r="CE21" s="940"/>
      <c r="CF21" s="940"/>
      <c r="CG21" s="940"/>
      <c r="CH21" s="940"/>
      <c r="CI21" s="940"/>
      <c r="CJ21" s="940"/>
      <c r="CK21" s="940"/>
      <c r="CL21" s="940"/>
      <c r="CM21" s="940"/>
      <c r="CN21" s="940"/>
      <c r="CO21" s="940"/>
      <c r="CP21" s="940"/>
      <c r="CQ21" s="940"/>
      <c r="CR21" s="940"/>
      <c r="CS21" s="940"/>
      <c r="CT21" s="940"/>
      <c r="CU21" s="940"/>
      <c r="CV21" s="940"/>
      <c r="CW21" s="940"/>
      <c r="CX21" s="940"/>
      <c r="CY21" s="940"/>
      <c r="CZ21" s="940"/>
      <c r="DA21" s="940"/>
      <c r="DB21" s="940"/>
      <c r="DC21" s="940"/>
      <c r="DD21" s="940"/>
      <c r="DE21" s="940"/>
      <c r="DF21" s="940"/>
      <c r="DG21" s="940"/>
      <c r="DH21" s="940"/>
      <c r="DI21" s="940"/>
      <c r="DJ21" s="940"/>
      <c r="DK21" s="940"/>
      <c r="DL21" s="940"/>
      <c r="DM21" s="940"/>
      <c r="DN21" s="940"/>
      <c r="DO21" s="940"/>
      <c r="DP21" s="940"/>
      <c r="DQ21" s="940"/>
      <c r="DR21" s="940"/>
      <c r="DS21" s="940"/>
      <c r="DT21" s="940"/>
      <c r="DU21" s="940"/>
      <c r="DV21" s="940"/>
      <c r="DW21" s="940"/>
      <c r="DX21" s="940"/>
      <c r="DY21" s="940"/>
      <c r="DZ21" s="940"/>
      <c r="EA21" s="940"/>
      <c r="EB21" s="940"/>
      <c r="EC21" s="940"/>
      <c r="ED21" s="940"/>
      <c r="EE21" s="940"/>
      <c r="EF21" s="940"/>
      <c r="EG21" s="940"/>
      <c r="EH21" s="940"/>
      <c r="EI21" s="940"/>
      <c r="EJ21" s="940"/>
      <c r="EK21" s="940"/>
      <c r="EL21" s="940"/>
      <c r="EM21" s="940"/>
      <c r="EN21" s="940"/>
      <c r="EO21" s="940"/>
      <c r="EP21" s="940"/>
      <c r="EQ21" s="940"/>
      <c r="ER21" s="940"/>
      <c r="ES21" s="940"/>
      <c r="ET21" s="940"/>
      <c r="EU21" s="940"/>
      <c r="EV21" s="940"/>
      <c r="EW21" s="940"/>
      <c r="EX21" s="940"/>
      <c r="EY21" s="940"/>
      <c r="EZ21" s="940"/>
      <c r="FA21" s="940"/>
      <c r="FB21" s="940"/>
      <c r="FC21" s="940"/>
      <c r="FD21" s="940"/>
      <c r="FE21" s="940"/>
      <c r="FF21" s="940"/>
      <c r="FG21" s="940"/>
      <c r="FH21" s="940"/>
      <c r="FI21" s="940"/>
      <c r="FJ21" s="940"/>
      <c r="FK21" s="940"/>
      <c r="FL21" s="940"/>
      <c r="FM21" s="940"/>
      <c r="FN21" s="940"/>
      <c r="FO21" s="940"/>
      <c r="FP21" s="940"/>
      <c r="FQ21" s="940"/>
      <c r="FR21" s="940"/>
      <c r="FS21" s="940"/>
      <c r="FT21" s="940"/>
      <c r="FU21" s="940"/>
      <c r="FV21" s="940"/>
      <c r="FW21" s="940"/>
      <c r="FX21" s="942"/>
      <c r="FY21" s="942"/>
      <c r="FZ21" s="942"/>
      <c r="GA21" s="942"/>
      <c r="GB21" s="942"/>
      <c r="GC21" s="923">
        <v>12</v>
      </c>
    </row>
    <row s="926" customFormat="1" customHeight="1" ht="12.75">
      <c r="A22" s="942"/>
      <c r="B22" s="942"/>
      <c r="C22" s="942"/>
      <c r="D22" s="942"/>
      <c r="E22" s="942"/>
      <c r="FX22" s="942"/>
      <c r="FY22" s="942"/>
      <c r="FZ22" s="942"/>
      <c r="GA22" s="942"/>
      <c r="GB22" s="942"/>
      <c r="GC22" s="923">
        <v>12</v>
      </c>
    </row>
    <row s="1064" customFormat="1" customHeight="1" ht="12.75">
      <c r="A23" s="1063"/>
      <c r="B23" s="1063"/>
      <c r="C23" s="1063"/>
      <c r="D23" s="1063"/>
      <c r="E23" s="1063"/>
      <c r="O23" s="1065"/>
      <c r="P23" s="1065"/>
      <c r="Q23" s="1065"/>
      <c r="R23" s="1065"/>
      <c r="S23" s="1065"/>
      <c r="T23" s="1065"/>
      <c r="U23" s="1065"/>
      <c r="V23" s="1065"/>
      <c r="W23" s="1065"/>
      <c r="X23" s="1065"/>
      <c r="Y23" s="1065"/>
      <c r="Z23" s="1065"/>
      <c r="AA23" s="1065"/>
      <c r="AB23" s="1065"/>
      <c r="AC23" s="1065"/>
      <c r="AD23" s="1065"/>
      <c r="AE23" s="1065"/>
      <c r="AF23" s="1065"/>
      <c r="AG23" s="1065"/>
      <c r="AH23" s="1065"/>
      <c r="AI23" s="1065"/>
      <c r="AJ23" s="1065"/>
      <c r="AK23" s="1065"/>
      <c r="AL23" s="1065"/>
      <c r="AM23" s="1065"/>
      <c r="AN23" s="1065"/>
      <c r="AO23" s="1065"/>
      <c r="AP23" s="1065"/>
      <c r="AQ23" s="1065"/>
      <c r="AR23" s="1065"/>
      <c r="AS23" s="1065"/>
      <c r="AT23" s="1065"/>
      <c r="AU23" s="1065"/>
      <c r="AV23" s="1065"/>
      <c r="AW23" s="1065"/>
      <c r="AX23" s="1065"/>
      <c r="AY23" s="1065"/>
      <c r="AZ23" s="1065"/>
      <c r="BA23" s="1065"/>
      <c r="BB23" s="1065"/>
      <c r="BC23" s="1065"/>
      <c r="BD23" s="1065"/>
      <c r="BE23" s="1065"/>
      <c r="BF23" s="1065"/>
      <c r="BG23" s="1065"/>
      <c r="BH23" s="1065"/>
      <c r="BI23" s="1065"/>
      <c r="BJ23" s="1065"/>
      <c r="BK23" s="1065"/>
      <c r="BL23" s="1065"/>
      <c r="BM23" s="1065"/>
      <c r="BN23" s="1065"/>
      <c r="BO23" s="1065"/>
      <c r="BP23" s="1065"/>
      <c r="BQ23" s="1065"/>
      <c r="BR23" s="1065"/>
      <c r="BS23" s="1065"/>
      <c r="BT23" s="1066"/>
      <c r="BU23" s="1066"/>
      <c r="BV23" s="1066"/>
      <c r="BW23" s="1066"/>
      <c r="BX23" s="1066"/>
      <c r="BY23" s="1066"/>
      <c r="BZ23" s="1066"/>
      <c r="CA23" s="1066"/>
      <c r="CB23" s="1066"/>
      <c r="CC23" s="1066"/>
      <c r="CD23" s="1066"/>
      <c r="CE23" s="1066"/>
      <c r="CF23" s="1066"/>
      <c r="CG23" s="1066"/>
      <c r="CH23" s="1066"/>
      <c r="CI23" s="1066"/>
      <c r="CJ23" s="1066"/>
      <c r="CK23" s="1066"/>
      <c r="CL23" s="1066"/>
      <c r="CM23" s="1066"/>
      <c r="CN23" s="1066"/>
      <c r="CO23" s="1066"/>
      <c r="CP23" s="1066"/>
      <c r="CQ23" s="1066"/>
      <c r="CR23" s="1066"/>
      <c r="CS23" s="1066"/>
      <c r="CT23" s="1066"/>
      <c r="CU23" s="1066"/>
      <c r="CV23" s="1066"/>
      <c r="CW23" s="1066"/>
      <c r="CX23" s="1066"/>
      <c r="CY23" s="1066"/>
      <c r="CZ23" s="1066"/>
      <c r="DA23" s="1066"/>
      <c r="DB23" s="1066"/>
      <c r="DC23" s="1066"/>
      <c r="DD23" s="1066"/>
      <c r="DE23" s="1066"/>
      <c r="DF23" s="1066"/>
      <c r="DG23" s="1066"/>
      <c r="DH23" s="1066"/>
      <c r="DI23" s="1066"/>
      <c r="DJ23" s="1066"/>
      <c r="DK23" s="1066"/>
      <c r="DL23" s="1066"/>
      <c r="DM23" s="1066"/>
      <c r="DN23" s="1066"/>
      <c r="DO23" s="1066"/>
      <c r="DP23" s="1066"/>
      <c r="DQ23" s="1066"/>
      <c r="DR23" s="1066"/>
      <c r="DS23" s="1066"/>
      <c r="DT23" s="1066"/>
      <c r="DU23" s="1066"/>
      <c r="DV23" s="1066"/>
      <c r="DW23" s="1066"/>
      <c r="DX23" s="1066"/>
      <c r="FX23" s="1063"/>
      <c r="FY23" s="1063"/>
      <c r="FZ23" s="1063"/>
      <c r="GA23" s="1063"/>
      <c r="GB23" s="1063"/>
      <c r="GC23" s="1064">
        <v>12</v>
      </c>
    </row>
    <row customHeight="1" ht="12.75">
      <c r="S24" s="939"/>
      <c r="T24" s="939"/>
      <c r="U24" s="939"/>
      <c r="V24" s="939"/>
      <c r="W24" s="939"/>
      <c r="X24" s="939"/>
      <c r="Y24" s="939"/>
      <c r="Z24" s="939"/>
      <c r="AA24" s="939"/>
      <c r="AB24" s="939"/>
      <c r="FX24" s="939"/>
      <c r="FY24" s="939"/>
      <c r="FZ24" s="939"/>
      <c r="GA24" s="939"/>
      <c r="GB24" s="939"/>
      <c r="GC24" s="927">
        <v>12</v>
      </c>
    </row>
    <row customHeight="1" ht="12" hidden="1">
      <c r="A25" s="927" t="s">
        <v>83</v>
      </c>
      <c r="B25" s="937">
        <v>0</v>
      </c>
      <c r="C25" s="927">
        <v>0</v>
      </c>
      <c r="D25" s="927">
        <v>0</v>
      </c>
      <c r="E25" s="927">
        <v>3</v>
      </c>
      <c r="F25" s="927">
        <v>6</v>
      </c>
      <c r="G25" s="927">
        <v>18</v>
      </c>
      <c r="H25" s="927">
        <v>27</v>
      </c>
      <c r="I25" s="927">
        <v>18</v>
      </c>
      <c r="J25" s="927">
        <v>0</v>
      </c>
      <c r="K25" s="927">
        <v>0</v>
      </c>
      <c r="L25" s="927">
        <v>0</v>
      </c>
      <c r="M25" s="927">
        <v>0</v>
      </c>
      <c r="N25" s="927">
        <v>0</v>
      </c>
      <c r="O25" s="927">
        <v>0</v>
      </c>
      <c r="P25" s="927">
        <v>0</v>
      </c>
      <c r="Q25" s="927">
        <v>0</v>
      </c>
      <c r="R25" s="927">
        <v>0</v>
      </c>
      <c r="S25" s="927">
        <v>0</v>
      </c>
      <c r="T25" s="927">
        <v>0</v>
      </c>
      <c r="U25" s="927">
        <v>0</v>
      </c>
      <c r="V25" s="927">
        <v>0</v>
      </c>
      <c r="W25" s="927">
        <v>0</v>
      </c>
      <c r="X25" s="927">
        <v>0</v>
      </c>
      <c r="Y25" s="927">
        <v>0</v>
      </c>
      <c r="Z25" s="927">
        <v>0</v>
      </c>
      <c r="AA25" s="927">
        <v>0</v>
      </c>
      <c r="AB25" s="927">
        <v>0</v>
      </c>
      <c r="AC25" s="927">
        <v>0</v>
      </c>
      <c r="AD25" s="927">
        <v>0</v>
      </c>
      <c r="AE25" s="927">
        <v>0</v>
      </c>
      <c r="AF25" s="927">
        <v>0</v>
      </c>
      <c r="AG25" s="927">
        <v>0</v>
      </c>
      <c r="AH25" s="927">
        <v>0</v>
      </c>
      <c r="AI25" s="927">
        <v>0</v>
      </c>
      <c r="AJ25" s="927">
        <v>0</v>
      </c>
      <c r="AK25" s="927">
        <v>0</v>
      </c>
      <c r="AL25" s="927">
        <v>0</v>
      </c>
      <c r="AM25" s="927">
        <v>0</v>
      </c>
      <c r="AN25" s="927">
        <v>0</v>
      </c>
      <c r="AO25" s="927">
        <v>0</v>
      </c>
      <c r="AP25" s="927">
        <v>0</v>
      </c>
      <c r="AQ25" s="927">
        <v>0</v>
      </c>
      <c r="AR25" s="927">
        <v>0</v>
      </c>
      <c r="AS25" s="927">
        <v>0</v>
      </c>
      <c r="AT25" s="927">
        <v>0</v>
      </c>
      <c r="AU25" s="927">
        <v>0</v>
      </c>
      <c r="AV25" s="927">
        <v>0</v>
      </c>
      <c r="AW25" s="927">
        <v>0</v>
      </c>
      <c r="AX25" s="927">
        <v>0</v>
      </c>
      <c r="AY25" s="927">
        <v>0</v>
      </c>
      <c r="AZ25" s="927">
        <v>0</v>
      </c>
      <c r="BA25" s="927">
        <v>0</v>
      </c>
      <c r="BB25" s="927">
        <v>0</v>
      </c>
      <c r="BC25" s="927">
        <v>0</v>
      </c>
      <c r="BD25" s="927">
        <v>0</v>
      </c>
      <c r="BE25" s="927">
        <v>0</v>
      </c>
      <c r="BF25" s="927">
        <v>0</v>
      </c>
      <c r="BG25" s="927">
        <v>0</v>
      </c>
      <c r="BH25" s="927">
        <v>0</v>
      </c>
      <c r="BI25" s="927">
        <v>0</v>
      </c>
      <c r="BJ25" s="927">
        <v>0</v>
      </c>
      <c r="BK25" s="927">
        <v>0</v>
      </c>
      <c r="BL25" s="927">
        <v>0</v>
      </c>
      <c r="BM25" s="927">
        <v>0</v>
      </c>
      <c r="BN25" s="927">
        <v>0</v>
      </c>
      <c r="BO25" s="927">
        <v>0</v>
      </c>
      <c r="BP25" s="927">
        <v>0</v>
      </c>
      <c r="BQ25" s="927">
        <v>0</v>
      </c>
      <c r="BR25" s="927">
        <v>0</v>
      </c>
      <c r="BS25" s="927">
        <v>0</v>
      </c>
      <c r="BT25" s="927">
        <v>0</v>
      </c>
      <c r="BU25" s="927">
        <v>0</v>
      </c>
      <c r="BV25" s="927">
        <v>0</v>
      </c>
      <c r="BW25" s="927">
        <v>0</v>
      </c>
      <c r="BX25" s="927">
        <v>0</v>
      </c>
      <c r="BY25" s="927">
        <v>0</v>
      </c>
      <c r="BZ25" s="927">
        <v>0</v>
      </c>
      <c r="CA25" s="927">
        <v>0</v>
      </c>
      <c r="CB25" s="927">
        <v>0</v>
      </c>
      <c r="CC25" s="927">
        <v>0</v>
      </c>
      <c r="CD25" s="927">
        <v>0</v>
      </c>
      <c r="CE25" s="927">
        <v>0</v>
      </c>
      <c r="CF25" s="927">
        <v>0</v>
      </c>
      <c r="CG25" s="927">
        <v>0</v>
      </c>
      <c r="CH25" s="927">
        <v>0</v>
      </c>
      <c r="CI25" s="927">
        <v>0</v>
      </c>
      <c r="CJ25" s="927">
        <v>0</v>
      </c>
      <c r="CK25" s="927">
        <v>0</v>
      </c>
      <c r="CL25" s="927">
        <v>0</v>
      </c>
      <c r="CM25" s="927">
        <v>0</v>
      </c>
      <c r="CN25" s="927">
        <v>0</v>
      </c>
      <c r="CO25" s="927">
        <v>0</v>
      </c>
      <c r="CP25" s="927">
        <v>0</v>
      </c>
      <c r="CQ25" s="927">
        <v>0</v>
      </c>
      <c r="CR25" s="927">
        <v>0</v>
      </c>
      <c r="CS25" s="927">
        <v>0</v>
      </c>
      <c r="CT25" s="927">
        <v>0</v>
      </c>
      <c r="CU25" s="927">
        <v>0</v>
      </c>
      <c r="CV25" s="927">
        <v>0</v>
      </c>
      <c r="CW25" s="927">
        <v>0</v>
      </c>
      <c r="CX25" s="927">
        <v>0</v>
      </c>
      <c r="CY25" s="927">
        <v>0</v>
      </c>
      <c r="CZ25" s="927">
        <v>0</v>
      </c>
      <c r="DA25" s="927">
        <v>0</v>
      </c>
      <c r="DB25" s="927">
        <v>0</v>
      </c>
      <c r="DC25" s="927">
        <v>0</v>
      </c>
      <c r="DD25" s="927">
        <v>0</v>
      </c>
      <c r="DE25" s="927">
        <v>0</v>
      </c>
      <c r="DF25" s="927">
        <v>0</v>
      </c>
      <c r="DG25" s="927">
        <v>0</v>
      </c>
      <c r="DH25" s="927">
        <v>0</v>
      </c>
      <c r="DI25" s="927">
        <v>0</v>
      </c>
      <c r="DJ25" s="927">
        <v>0</v>
      </c>
      <c r="DK25" s="927">
        <v>0</v>
      </c>
      <c r="DL25" s="927">
        <v>0</v>
      </c>
      <c r="DM25" s="927">
        <v>0</v>
      </c>
      <c r="DN25" s="927">
        <v>0</v>
      </c>
      <c r="DO25" s="927">
        <v>0</v>
      </c>
      <c r="DP25" s="927">
        <v>0</v>
      </c>
      <c r="DQ25" s="927">
        <v>0</v>
      </c>
      <c r="DR25" s="927">
        <v>0</v>
      </c>
      <c r="DS25" s="927">
        <v>0</v>
      </c>
      <c r="DT25" s="927">
        <v>0</v>
      </c>
      <c r="DU25" s="927">
        <v>0</v>
      </c>
      <c r="DV25" s="927">
        <v>0</v>
      </c>
      <c r="DW25" s="927">
        <v>0</v>
      </c>
      <c r="DX25" s="927">
        <v>0</v>
      </c>
      <c r="DY25" s="927">
        <v>0</v>
      </c>
      <c r="DZ25" s="927">
        <v>0</v>
      </c>
      <c r="EA25" s="927">
        <v>0</v>
      </c>
      <c r="EB25" s="927">
        <v>0</v>
      </c>
      <c r="EC25" s="927">
        <v>0</v>
      </c>
      <c r="ED25" s="927">
        <v>0</v>
      </c>
      <c r="EE25" s="927">
        <v>0</v>
      </c>
      <c r="EF25" s="927">
        <v>0</v>
      </c>
      <c r="EG25" s="927">
        <v>0</v>
      </c>
      <c r="EH25" s="927">
        <v>0</v>
      </c>
      <c r="EI25" s="927">
        <v>0</v>
      </c>
      <c r="EJ25" s="927">
        <v>0</v>
      </c>
      <c r="EK25" s="927">
        <v>0</v>
      </c>
      <c r="EL25" s="927">
        <v>0</v>
      </c>
      <c r="EM25" s="927">
        <v>0</v>
      </c>
      <c r="EN25" s="927">
        <v>0</v>
      </c>
      <c r="EO25" s="927">
        <v>0</v>
      </c>
      <c r="EP25" s="927">
        <v>0</v>
      </c>
      <c r="EQ25" s="927">
        <v>0</v>
      </c>
      <c r="ER25" s="927">
        <v>0</v>
      </c>
      <c r="ES25" s="927">
        <v>0</v>
      </c>
      <c r="ET25" s="927">
        <v>0</v>
      </c>
      <c r="EU25" s="927">
        <v>0</v>
      </c>
      <c r="EV25" s="927">
        <v>0</v>
      </c>
      <c r="EW25" s="927">
        <v>0</v>
      </c>
      <c r="EX25" s="927">
        <v>0</v>
      </c>
      <c r="EY25" s="927">
        <v>0</v>
      </c>
      <c r="EZ25" s="927">
        <v>0</v>
      </c>
      <c r="FA25" s="927">
        <v>0</v>
      </c>
      <c r="FB25" s="927">
        <v>0</v>
      </c>
      <c r="FC25" s="927">
        <v>0</v>
      </c>
      <c r="FD25" s="927">
        <v>0</v>
      </c>
      <c r="FE25" s="927">
        <v>0</v>
      </c>
      <c r="FF25" s="927">
        <v>0</v>
      </c>
      <c r="FG25" s="927">
        <v>0</v>
      </c>
      <c r="FH25" s="927">
        <v>0</v>
      </c>
      <c r="FI25" s="927">
        <v>0</v>
      </c>
      <c r="FJ25" s="927">
        <v>0</v>
      </c>
      <c r="FK25" s="927">
        <v>0</v>
      </c>
      <c r="FL25" s="927">
        <v>0</v>
      </c>
      <c r="FM25" s="927">
        <v>0</v>
      </c>
      <c r="FN25" s="927">
        <v>0</v>
      </c>
      <c r="FO25" s="927">
        <v>0</v>
      </c>
      <c r="FP25" s="927">
        <v>0</v>
      </c>
      <c r="FQ25" s="927">
        <v>0</v>
      </c>
      <c r="FR25" s="927">
        <v>0</v>
      </c>
      <c r="FS25" s="927">
        <v>0</v>
      </c>
      <c r="FT25" s="927">
        <v>0</v>
      </c>
      <c r="FU25" s="927">
        <v>0</v>
      </c>
      <c r="FV25" s="927">
        <v>0</v>
      </c>
      <c r="FW25" s="927">
        <v>0</v>
      </c>
      <c r="FX25" s="927">
        <v>8</v>
      </c>
      <c r="FY25" s="927">
        <v>8</v>
      </c>
      <c r="FZ25" s="927">
        <v>8</v>
      </c>
      <c r="GA25" s="927">
        <v>8</v>
      </c>
      <c r="GB25" s="927">
        <v>8</v>
      </c>
      <c r="GC25" s="927">
        <v>12</v>
      </c>
    </row>
  </sheetData>
  <sheetProtection formatColumns="0" formatRows="0" autoFilter="0" sort="0" insertRows="0" insertColumns="1" deleteRows="0" deleteColumns="0"/>
  <mergeCells count="198">
    <mergeCell ref="CJ14:CK15"/>
    <mergeCell ref="CJ16:CK16"/>
    <mergeCell ref="CY13:CZ15"/>
    <mergeCell ref="CY16:CZ16"/>
    <mergeCell ref="DA13:DB15"/>
    <mergeCell ref="DA16:DB16"/>
    <mergeCell ref="CV11:CV17"/>
    <mergeCell ref="CW11:CW17"/>
    <mergeCell ref="CX11:CX17"/>
    <mergeCell ref="CY11:DJ11"/>
    <mergeCell ref="CY12:DD12"/>
    <mergeCell ref="DG12:DJ12"/>
    <mergeCell ref="CP11:CP17"/>
    <mergeCell ref="CQ11:CQ17"/>
    <mergeCell ref="CR11:CR17"/>
    <mergeCell ref="CS11:CS17"/>
    <mergeCell ref="CT11:CT17"/>
    <mergeCell ref="CU11:CU17"/>
    <mergeCell ref="DC13:DD15"/>
    <mergeCell ref="DC16:DD16"/>
    <mergeCell ref="DE12:DF12"/>
    <mergeCell ref="DE13:DF15"/>
    <mergeCell ref="DE16:DF16"/>
    <mergeCell ref="DG14:DH15"/>
    <mergeCell ref="AA14:AB15"/>
    <mergeCell ref="AA16:AB16"/>
    <mergeCell ref="BT13:BU15"/>
    <mergeCell ref="BT16:BU16"/>
    <mergeCell ref="O14:P15"/>
    <mergeCell ref="O16:P16"/>
    <mergeCell ref="Q14:R15"/>
    <mergeCell ref="Q16:R16"/>
    <mergeCell ref="S13:T15"/>
    <mergeCell ref="S16:T16"/>
    <mergeCell ref="U14:V15"/>
    <mergeCell ref="W14:X15"/>
    <mergeCell ref="U16:V16"/>
    <mergeCell ref="W16:X16"/>
    <mergeCell ref="BR11:BR17"/>
    <mergeCell ref="BS11:BS17"/>
    <mergeCell ref="BT11:CK11"/>
    <mergeCell ref="BT12:BW12"/>
    <mergeCell ref="BX12:CA12"/>
    <mergeCell ref="CD12:CK12"/>
    <mergeCell ref="BV16:BW16"/>
    <mergeCell ref="BX13:BY15"/>
    <mergeCell ref="CH14:CI15"/>
    <mergeCell ref="CH16:CI16"/>
    <mergeCell ref="DY8:FV8"/>
    <mergeCell ref="FW8:FW17"/>
    <mergeCell ref="AE11:AE17"/>
    <mergeCell ref="AF11:AF17"/>
    <mergeCell ref="EI11:EI17"/>
    <mergeCell ref="EJ11:EJ17"/>
    <mergeCell ref="EK11:EK17"/>
    <mergeCell ref="EL11:EL17"/>
    <mergeCell ref="CL11:CL17"/>
    <mergeCell ref="CM11:CM17"/>
    <mergeCell ref="CN11:CN17"/>
    <mergeCell ref="CO11:CO17"/>
    <mergeCell ref="AG11:AG17"/>
    <mergeCell ref="AH11:AH17"/>
    <mergeCell ref="AI11:AI17"/>
    <mergeCell ref="AJ11:AJ17"/>
    <mergeCell ref="AK11:AK17"/>
    <mergeCell ref="AL11:AL17"/>
    <mergeCell ref="AY11:AY17"/>
    <mergeCell ref="AZ11:AZ17"/>
    <mergeCell ref="BA11:BA17"/>
    <mergeCell ref="BB11:BB17"/>
    <mergeCell ref="BV13:BW15"/>
    <mergeCell ref="O8:BS8"/>
    <mergeCell ref="BT8:CX8"/>
    <mergeCell ref="CY8:DX8"/>
    <mergeCell ref="L11:L17"/>
    <mergeCell ref="M11:M17"/>
    <mergeCell ref="N11:N17"/>
    <mergeCell ref="O11:AB11"/>
    <mergeCell ref="AC11:AC17"/>
    <mergeCell ref="AD11:AD17"/>
    <mergeCell ref="O12:R12"/>
    <mergeCell ref="S12:AB12"/>
    <mergeCell ref="AM11:AM17"/>
    <mergeCell ref="AN11:AN17"/>
    <mergeCell ref="AO11:AO17"/>
    <mergeCell ref="AP11:AP17"/>
    <mergeCell ref="AQ11:AQ17"/>
    <mergeCell ref="AR11:AR17"/>
    <mergeCell ref="AS11:AS17"/>
    <mergeCell ref="AT11:AT17"/>
    <mergeCell ref="AU11:AU17"/>
    <mergeCell ref="AV11:AV17"/>
    <mergeCell ref="AW11:AW17"/>
    <mergeCell ref="AX11:AX17"/>
    <mergeCell ref="BK11:BK17"/>
    <mergeCell ref="BQ11:BQ17"/>
    <mergeCell ref="F11:F17"/>
    <mergeCell ref="G11:G17"/>
    <mergeCell ref="H11:H17"/>
    <mergeCell ref="I11:I17"/>
    <mergeCell ref="J11:J17"/>
    <mergeCell ref="K11:K17"/>
    <mergeCell ref="BP11:BP17"/>
    <mergeCell ref="BE11:BE17"/>
    <mergeCell ref="BF11:BF17"/>
    <mergeCell ref="BG11:BG17"/>
    <mergeCell ref="BH11:BH17"/>
    <mergeCell ref="BI11:BI17"/>
    <mergeCell ref="BJ11:BJ17"/>
    <mergeCell ref="BC11:BC17"/>
    <mergeCell ref="BD11:BD17"/>
    <mergeCell ref="O13:R13"/>
    <mergeCell ref="U13:X13"/>
    <mergeCell ref="Y13:AB13"/>
    <mergeCell ref="BL11:BL17"/>
    <mergeCell ref="BM11:BM17"/>
    <mergeCell ref="BN11:BN17"/>
    <mergeCell ref="BO11:BO17"/>
    <mergeCell ref="Y14:Z15"/>
    <mergeCell ref="Y16:Z16"/>
    <mergeCell ref="BX16:BY16"/>
    <mergeCell ref="BZ13:CA15"/>
    <mergeCell ref="BZ16:CA16"/>
    <mergeCell ref="CB12:CC12"/>
    <mergeCell ref="CB13:CC15"/>
    <mergeCell ref="CB16:CC16"/>
    <mergeCell ref="CD13:CE15"/>
    <mergeCell ref="CD16:CE16"/>
    <mergeCell ref="CF13:CG15"/>
    <mergeCell ref="CF16:CG16"/>
    <mergeCell ref="DG16:DH16"/>
    <mergeCell ref="DQ11:DQ17"/>
    <mergeCell ref="DR11:DR17"/>
    <mergeCell ref="DS11:DS17"/>
    <mergeCell ref="DT11:DT17"/>
    <mergeCell ref="DI14:DJ15"/>
    <mergeCell ref="DI16:DJ16"/>
    <mergeCell ref="DU11:DU17"/>
    <mergeCell ref="DV11:DV17"/>
    <mergeCell ref="DK11:DK17"/>
    <mergeCell ref="DL11:DL17"/>
    <mergeCell ref="DM11:DM17"/>
    <mergeCell ref="DN11:DN17"/>
    <mergeCell ref="DO11:DO17"/>
    <mergeCell ref="DP11:DP17"/>
    <mergeCell ref="EC11:EC17"/>
    <mergeCell ref="ED11:ED17"/>
    <mergeCell ref="EE11:EE17"/>
    <mergeCell ref="EF11:EF17"/>
    <mergeCell ref="EG11:EG17"/>
    <mergeCell ref="EH11:EH17"/>
    <mergeCell ref="DW11:DW17"/>
    <mergeCell ref="DX11:DX17"/>
    <mergeCell ref="DY11:DY17"/>
    <mergeCell ref="DZ11:DZ17"/>
    <mergeCell ref="EA11:EA17"/>
    <mergeCell ref="EB11:EB17"/>
    <mergeCell ref="FN11:FN17"/>
    <mergeCell ref="FO11:FO17"/>
    <mergeCell ref="FP11:FP17"/>
    <mergeCell ref="FQ11:FQ17"/>
    <mergeCell ref="FR11:FR17"/>
    <mergeCell ref="EV11:EV17"/>
    <mergeCell ref="EW11:EW17"/>
    <mergeCell ref="EX11:EX17"/>
    <mergeCell ref="EM11:EM17"/>
    <mergeCell ref="EN11:EN17"/>
    <mergeCell ref="EO11:EO17"/>
    <mergeCell ref="EP11:EP17"/>
    <mergeCell ref="EQ11:EQ17"/>
    <mergeCell ref="ER11:ER17"/>
    <mergeCell ref="ES11:ES17"/>
    <mergeCell ref="ET11:ET17"/>
    <mergeCell ref="EU11:EU17"/>
    <mergeCell ref="F10:FV10"/>
    <mergeCell ref="F5:BS5"/>
    <mergeCell ref="F6:BS6"/>
    <mergeCell ref="DG13:DJ13"/>
    <mergeCell ref="CH13:CK13"/>
    <mergeCell ref="FE11:FE17"/>
    <mergeCell ref="FF11:FF17"/>
    <mergeCell ref="FG11:FG17"/>
    <mergeCell ref="FH11:FH17"/>
    <mergeCell ref="FI11:FI17"/>
    <mergeCell ref="FJ11:FJ17"/>
    <mergeCell ref="EY11:EY17"/>
    <mergeCell ref="EZ11:EZ17"/>
    <mergeCell ref="FA11:FA17"/>
    <mergeCell ref="FB11:FB17"/>
    <mergeCell ref="FC11:FC17"/>
    <mergeCell ref="FD11:FD17"/>
    <mergeCell ref="FS11:FS17"/>
    <mergeCell ref="FT11:FT17"/>
    <mergeCell ref="FU11:FU17"/>
    <mergeCell ref="FV11:FV17"/>
    <mergeCell ref="FK11:FK17"/>
    <mergeCell ref="FL11:FL17"/>
    <mergeCell ref="FM11:FM17"/>
  </mergeCells>
  <dataValidations count="1">
    <dataValidation allowBlank="1" showInputMessage="1" showErrorMessage="1" sqref="AA14:AB16 U16:Z16"/>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599FF374-6DD8-2C08-B1AF-164B546307E8}" mc:Ignorable="x14ac xr xr2 xr3">
  <sheetPr>
    <tabColor theme="2" tint="-0.1"/>
  </sheetPr>
  <dimension ref="A1:S23"/>
  <sheetViews>
    <sheetView showGridLines="0" zoomScale="90" workbookViewId="0">
      <pane xSplit="7" ySplit="14" topLeftCell="H15" activePane="bottomRight" state="frozen"/>
      <selection pane="bottomLeft" activeCell="A15" sqref="A15"/>
      <selection pane="topRight" activeCell="H1" sqref="H1"/>
      <selection pane="bottomRight" activeCell="A1" sqref="A1"/>
    </sheetView>
  </sheetViews>
  <sheetFormatPr defaultColWidth="10.57421875" customHeight="1" defaultRowHeight="15"/>
  <cols>
    <col min="1" max="1" style="1633" width="9.140625" hidden="1" customWidth="1"/>
    <col min="2" max="2" style="1636" width="9.140625" hidden="1" customWidth="1"/>
    <col min="3" max="3" style="684" width="4.00390625" customWidth="1"/>
    <col min="4" max="4" style="1636" width="6.00390625" customWidth="1"/>
    <col min="5" max="5" style="1636" width="36.00390625" customWidth="1"/>
    <col min="6" max="6" style="1636" width="9.00390625" customWidth="1"/>
    <col min="7" max="7" style="1636" width="42.421875" hidden="1" customWidth="1"/>
    <col min="8" max="8" style="1636" width="40.7109375" customWidth="1"/>
    <col min="9" max="9" style="1367" width="93.00390625" customWidth="1"/>
    <col min="10" max="17" style="1636" width="10.00390625" customWidth="1"/>
    <col min="18" max="18" style="676" width="10.00390625" customWidth="1"/>
    <col min="19" max="19" style="1636" width="10.57421875" hidden="1"/>
  </cols>
  <sheetData>
    <row s="1367" customFormat="1" customHeight="1" ht="15" hidden="1">
      <c r="C1" s="673"/>
      <c r="H1" s="418">
        <v>4</v>
      </c>
      <c r="R1" s="421"/>
      <c r="S1" s="418" t="s">
        <v>14</v>
      </c>
    </row>
    <row customHeight="1" ht="22.5" hidden="1">
      <c r="C2" s="1929" t="s">
        <v>104</v>
      </c>
      <c r="D2" s="540"/>
      <c r="E2" s="664"/>
      <c r="F2" s="1762" t="str">
        <f>IF(TEMPLATE_SPHERE="HEAT","Гкал/час","тыс. куб. м/сутки")</f>
        <v>Гкал/час</v>
      </c>
      <c r="G2" s="681"/>
      <c r="H2" s="681"/>
      <c r="I2" s="290"/>
      <c r="S2" s="506">
        <v>0</v>
      </c>
    </row>
    <row s="1367" customFormat="1" customHeight="1" ht="15" hidden="1">
      <c r="C3" s="673"/>
      <c r="R3" s="421"/>
      <c r="S3" s="418">
        <v>0</v>
      </c>
    </row>
    <row customHeight="1" ht="15.75">
      <c r="C4" s="177"/>
      <c r="D4" s="510"/>
      <c r="E4" s="510"/>
      <c r="F4" s="510"/>
      <c r="G4" s="510"/>
      <c r="H4" s="510"/>
      <c r="S4" s="506">
        <v>15</v>
      </c>
    </row>
    <row customHeight="1" ht="39.75">
      <c r="C5" s="177"/>
      <c r="D5" s="2238" t="str">
        <f>TP_NAME_FORM</f>
        <v>Форма 14. Информация о наличии (об отсутствии) технической возможности подключения (технологического присоединения) к системе теплоснабжения, а также о принятии и ходе рассмотрения заявок на заключение договора о подключении (технологическом присоединении) к системе теплоснабжения</v>
      </c>
      <c r="E5" s="2238"/>
      <c r="F5" s="2238"/>
      <c r="G5" s="2238"/>
      <c r="H5" s="2238"/>
      <c r="I5" s="538"/>
      <c r="S5" s="506">
        <v>38</v>
      </c>
    </row>
    <row customHeight="1" ht="15.75">
      <c r="C6" s="177"/>
      <c r="D6" s="2177" t="str">
        <f>IF(org=0,"Не определено",org)</f>
        <v>ПАО "КГК"</v>
      </c>
      <c r="E6" s="2177"/>
      <c r="F6" s="2177"/>
      <c r="G6" s="2177"/>
      <c r="H6" s="2177"/>
      <c r="I6" s="538"/>
      <c r="S6" s="506">
        <v>15</v>
      </c>
    </row>
    <row s="1636" customFormat="1" customHeight="1" ht="15.75">
      <c r="A7" s="760"/>
      <c r="C7" s="177"/>
      <c r="D7" s="677"/>
      <c r="E7" s="677"/>
      <c r="F7" s="677"/>
      <c r="G7" s="677"/>
      <c r="H7" s="753"/>
      <c r="I7" s="538"/>
      <c r="R7" s="676"/>
      <c r="S7" s="759">
        <v>15</v>
      </c>
    </row>
    <row customHeight="1" ht="1.05">
      <c r="C8" s="177"/>
      <c r="D8" s="510"/>
      <c r="E8" s="510"/>
      <c r="F8" s="510"/>
      <c r="G8" s="510"/>
      <c r="H8" s="538" t="s">
        <v>125</v>
      </c>
      <c r="S8" s="506">
        <v>1</v>
      </c>
    </row>
    <row customHeight="1" ht="15.75">
      <c r="C9" s="177"/>
      <c r="D9" s="712"/>
      <c r="E9" s="2368" t="s">
        <v>114</v>
      </c>
      <c r="F9" s="2369"/>
      <c r="G9" s="817" t="str">
        <f>IF(G8="","",INDEX(DIFFERENTIATION_UNMERGE_VD,MATCH(G8,DIFFERENTIATION_ID_DIFF,0)))</f>
        <v/>
      </c>
      <c r="H9" s="817">
        <f>IF(H8="","",INDEX(DIFFERENTIATION_UNMERGE_VD,MATCH(H8,DIFFERENTIATION_ID_DIFF,0)))</f>
        <v>0</v>
      </c>
      <c r="I9" s="2128" t="s">
        <v>318</v>
      </c>
      <c r="S9" s="506">
        <v>15</v>
      </c>
    </row>
    <row s="1636" customFormat="1" customHeight="1" ht="15.75">
      <c r="A10" s="760"/>
      <c r="C10" s="177"/>
      <c r="D10" s="712"/>
      <c r="E10" s="2368" t="s">
        <v>583</v>
      </c>
      <c r="F10" s="2369"/>
      <c r="G10" s="817" t="str">
        <f>IF(G8="","",INDEX(DIFFERENTIATION_UNMERGE_AREA,MATCH(G8,DIFFERENTIATION_ID_DIFF,0)))</f>
        <v/>
      </c>
      <c r="H10" s="817" t="str">
        <f>IF(H8="","",INDEX(DIFFERENTIATION_UNMERGE_AREA,MATCH(H8,DIFFERENTIATION_ID_DIFF,0)))</f>
        <v/>
      </c>
      <c r="I10" s="2128"/>
      <c r="R10" s="676"/>
      <c r="S10" s="759">
        <v>15</v>
      </c>
    </row>
    <row s="1636" customFormat="1" customHeight="1" ht="15.75">
      <c r="A11" s="760"/>
      <c r="C11" s="177"/>
      <c r="D11" s="712"/>
      <c r="E11" s="2368" t="s">
        <v>584</v>
      </c>
      <c r="F11" s="2369"/>
      <c r="G11" s="817" t="str">
        <f>IF(G8="","",INDEX(DIFFERENTIATION_UNMERGE_SYSTEM,MATCH(G8,DIFFERENTIATION_ID_DIFF,0)))</f>
        <v/>
      </c>
      <c r="H11" s="817" t="str">
        <f>IF(H8="","",INDEX(DIFFERENTIATION_UNMERGE_SYSTEM,MATCH(H8,DIFFERENTIATION_ID_DIFF,0)))</f>
        <v>без дифференциации</v>
      </c>
      <c r="I11" s="2128"/>
      <c r="R11" s="676"/>
      <c r="S11" s="759">
        <v>15</v>
      </c>
    </row>
    <row s="1636" customFormat="1" customHeight="1" ht="15.75">
      <c r="A12" s="760"/>
      <c r="C12" s="177"/>
      <c r="D12" s="2370" t="s">
        <v>317</v>
      </c>
      <c r="E12" s="2371"/>
      <c r="F12" s="2371"/>
      <c r="G12" s="888"/>
      <c r="H12" s="888"/>
      <c r="I12" s="2128"/>
      <c r="R12" s="676"/>
      <c r="S12" s="759">
        <v>15</v>
      </c>
    </row>
    <row customHeight="1" ht="35.699999999999996">
      <c r="C13" s="177"/>
      <c r="D13" s="762" t="s">
        <v>89</v>
      </c>
      <c r="E13" s="761" t="s">
        <v>319</v>
      </c>
      <c r="F13" s="761" t="s">
        <v>585</v>
      </c>
      <c r="G13" s="809" t="s">
        <v>320</v>
      </c>
      <c r="H13" s="755" t="s">
        <v>320</v>
      </c>
      <c r="I13" s="2128"/>
      <c r="S13" s="506">
        <v>34</v>
      </c>
    </row>
    <row customHeight="1" ht="15" hidden="1">
      <c r="C14" s="177"/>
      <c r="D14" s="594" t="s">
        <v>118</v>
      </c>
      <c r="E14" s="594" t="s">
        <v>103</v>
      </c>
      <c r="F14" s="594" t="s">
        <v>91</v>
      </c>
      <c r="G14" s="660" t="str">
        <f>G1&amp;".1"</f>
        <v>.1</v>
      </c>
      <c r="H14" s="660" t="str">
        <f>H1&amp;".1"</f>
        <v>4.1</v>
      </c>
      <c r="I14" s="290"/>
      <c r="S14" s="506">
        <v>0</v>
      </c>
    </row>
    <row customHeight="1" ht="15.75">
      <c r="A15" s="506"/>
      <c r="C15" s="527"/>
      <c r="D15" s="522">
        <v>1</v>
      </c>
      <c r="E15" s="1931" t="str">
        <f>TP_P_A</f>
        <v>Количество поданных заявок</v>
      </c>
      <c r="F15" s="522" t="s">
        <v>1133</v>
      </c>
      <c r="G15" s="686"/>
      <c r="H15" s="686"/>
      <c r="I15" s="209" t="str">
        <f>TP_P_NOTE_A</f>
        <v>Указывается количество поданных заявок на подключение (технологическое присоединение) к системе теплоснабжения в течение отчетного квартала.</v>
      </c>
      <c r="S15" s="506">
        <v>15</v>
      </c>
    </row>
    <row customHeight="1" ht="15.75">
      <c r="A16" s="506"/>
      <c r="C16" s="527"/>
      <c r="D16" s="522">
        <v>2</v>
      </c>
      <c r="E16" s="1931" t="str">
        <f>TP_P_B</f>
        <v>Количество рассмотренных заявок</v>
      </c>
      <c r="F16" s="522" t="s">
        <v>1133</v>
      </c>
      <c r="G16" s="686"/>
      <c r="H16" s="686"/>
      <c r="I16" s="209" t="str">
        <f>TP_P_NOTE_B</f>
        <v>Указывается количество исполненных заявок на подключение (технологическое присоединение) к системе теплоснабжения в течение отчетного квартала.</v>
      </c>
      <c r="S16" s="506">
        <v>15</v>
      </c>
    </row>
    <row customHeight="1" ht="77.7">
      <c r="A17" s="506"/>
      <c r="C17" s="527"/>
      <c r="D17" s="522">
        <v>3</v>
      </c>
      <c r="E17" s="1931" t="str">
        <f>TP_P_V</f>
        <v>Количество заявок на заключение договора о подключении (технологическом присоединении) к системе теплоснабжения, по которым регулируемой организацией отказано в заключении договора о подключении (технологическом присоединении) к системе теплоснабжения</v>
      </c>
      <c r="F17" s="522" t="s">
        <v>1133</v>
      </c>
      <c r="G17" s="686"/>
      <c r="H17" s="686"/>
      <c r="I17" s="209" t="str">
        <f>TP_P_NOTE_V</f>
        <v>Указывается количество заявок с решением об отказе в течение отчетного квартала.</v>
      </c>
      <c r="S17" s="506">
        <v>74</v>
      </c>
    </row>
    <row customHeight="1" ht="54.75">
      <c r="A18" s="506"/>
      <c r="C18" s="527"/>
      <c r="D18" s="522">
        <v>4</v>
      </c>
      <c r="E18" s="1931" t="str">
        <f>TP_P_V_1</f>
        <v>Причины отказа в заключении договора о подключении (технологическом присоединении) к системе теплоснабжения</v>
      </c>
      <c r="F18" s="522" t="s">
        <v>323</v>
      </c>
      <c r="G18" s="687"/>
      <c r="H18" s="687"/>
      <c r="I18" s="839" t="str">
        <f>TP_P_NOTE_V_1</f>
        <v>Указывается текстовое описание причин принятия решений.
Не заполняется в случае, если решения об отказе в течение отчетного периода не принимались.</v>
      </c>
      <c r="S18" s="506">
        <v>52</v>
      </c>
    </row>
    <row customHeight="1" ht="60">
      <c r="A19" s="506"/>
      <c r="C19" s="527"/>
      <c r="D19" s="522">
        <v>5</v>
      </c>
      <c r="E19" s="1931" t="str">
        <f>TP_P_G</f>
        <v>Резерв мощности источников тепловой энергии, входящих в систему теплоснабжения, в течение одного квартала, в том числе:</v>
      </c>
      <c r="F19" s="522" t="str">
        <f>IF(TEMPLATE_SPHERE="HEAT","Гкал/час","тыс. куб. м/сутки")</f>
        <v>Гкал/час</v>
      </c>
      <c r="G19" s="688">
        <f>SUM(G20:G22)</f>
        <v>0</v>
      </c>
      <c r="H19" s="688">
        <f>SUM(H20:H22)</f>
        <v>0</v>
      </c>
      <c r="I19" s="209" t="str">
        <f>TP_P_NOTE_G</f>
        <v>Указывается резерв мощности для системы теплоснабжения, тариф для которой не является отличным от тарифов других систем теплоснабжения регулируемой организации.
При использовании регулируемой организацией нескольких систем теплоснабжения информация о резерве мощности источников тепловой энергии таких систем раскрывается в отношении каждой системы теплоснабжения в отдельных строках. </v>
      </c>
      <c r="S19" s="506">
        <v>57</v>
      </c>
    </row>
    <row customHeight="1" ht="15" hidden="1">
      <c r="D20" s="510" t="s">
        <v>1134</v>
      </c>
      <c r="E20" s="689"/>
      <c r="F20" s="510"/>
      <c r="G20" s="510"/>
      <c r="H20" s="510"/>
      <c r="I20" s="1764"/>
      <c r="S20" s="506">
        <v>0</v>
      </c>
    </row>
    <row customHeight="1" ht="29.25">
      <c r="C21" s="452"/>
      <c r="D21" s="540" t="s">
        <v>330</v>
      </c>
      <c r="E21" s="671"/>
      <c r="F21" s="1762" t="str">
        <f>IF(TEMPLATE_SPHERE="HEAT","Гкал/час","тыс. куб. м/сутки")</f>
        <v>Гкал/час</v>
      </c>
      <c r="G21" s="681"/>
      <c r="H21" s="681"/>
      <c r="I21" s="2170" t="str">
        <f>TP_P_NOTE_G_1</f>
        <v>Указывается резерв мощности для системы теплоснабжения, тариф для которой не является отличным от тарифов других систем теплоснабжения регулируемой организации.
При использовании регулируемой организацией нескольких систем теплоснабжения информация о резерве мощности источников тепловой энергии таких систем раскрывается в отношении каждой системы теплоснабжения в отдельных строках. </v>
      </c>
      <c r="S21" s="506">
        <v>28</v>
      </c>
    </row>
    <row customHeight="1" ht="15.75">
      <c r="A22" s="506"/>
      <c r="C22" s="506"/>
      <c r="D22" s="348"/>
      <c r="E22" s="581" t="s">
        <v>1135</v>
      </c>
      <c r="F22" s="573"/>
      <c r="G22" s="573"/>
      <c r="H22" s="573"/>
      <c r="I22" s="2172"/>
      <c r="R22" s="506"/>
      <c r="S22" s="506">
        <v>15</v>
      </c>
    </row>
    <row customHeight="1" ht="22.5" hidden="1">
      <c r="A23" s="450" t="s">
        <v>83</v>
      </c>
      <c r="B23" s="506">
        <v>0</v>
      </c>
      <c r="C23" s="684">
        <v>4</v>
      </c>
      <c r="D23" s="506">
        <v>6</v>
      </c>
      <c r="E23" s="506">
        <v>36</v>
      </c>
      <c r="F23" s="506">
        <v>9</v>
      </c>
      <c r="G23" s="759">
        <v>0</v>
      </c>
      <c r="H23" s="506">
        <v>40</v>
      </c>
      <c r="I23" s="418">
        <v>93</v>
      </c>
      <c r="J23" s="506">
        <v>10</v>
      </c>
      <c r="K23" s="506">
        <v>10</v>
      </c>
      <c r="L23" s="506">
        <v>10</v>
      </c>
      <c r="M23" s="506">
        <v>10</v>
      </c>
      <c r="N23" s="506">
        <v>10</v>
      </c>
      <c r="O23" s="506">
        <v>10</v>
      </c>
      <c r="P23" s="506">
        <v>10</v>
      </c>
      <c r="Q23" s="506">
        <v>10</v>
      </c>
      <c r="R23" s="676">
        <v>10</v>
      </c>
      <c r="S23" s="506">
        <v>23</v>
      </c>
    </row>
  </sheetData>
  <sheetProtection formatColumns="0" formatRows="0" autoFilter="0" sort="0" insertRows="0" insertColumns="1" deleteRows="0" deleteColumns="0"/>
  <mergeCells count="8">
    <mergeCell ref="I21:I22"/>
    <mergeCell ref="I9:I13"/>
    <mergeCell ref="D5:H5"/>
    <mergeCell ref="D6:H6"/>
    <mergeCell ref="E9:F9"/>
    <mergeCell ref="E10:F10"/>
    <mergeCell ref="E11:F11"/>
    <mergeCell ref="D12:F12"/>
  </mergeCells>
  <dataValidations count="4">
    <dataValidation type="decimal" allowBlank="1" showErrorMessage="1" errorTitle="Ошибка" error="Допускается ввод только действительных чисел!" sqref="G2:H2 G21:H21">
      <formula1>-9.99999999999999E+23</formula1>
      <formula2>9.99999999999999E+23</formula2>
    </dataValidation>
    <dataValidation type="whole" allowBlank="1" showErrorMessage="1" errorTitle="Ошибка" error="Допускается ввод только неотрицательных целых чисел!" sqref="G15:H17">
      <formula1>0</formula1>
      <formula2>9.99999999999999E+23</formula2>
    </dataValidation>
    <dataValidation type="textLength" operator="lessThanOrEqual" allowBlank="1" showInputMessage="1" showErrorMessage="1" errorTitle="Ошибка" error="Допускается ввод не более 900 символов!" sqref="E21 E2 G18:H18">
      <formula1>900</formula1>
    </dataValidation>
    <dataValidation allowBlank="1" showInputMessage="1" showErrorMessage="1" prompt="Количество поданных заявок на подключение (технологическое присоединение) к системе теплоснабжения в течение квартала, шт." sqref="E15 E13"/>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4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126F93D8-D7B4-5FD8-B458-73699D1BB9A8}" mc:Ignorable="x14ac xr xr2 xr3">
  <sheetPr>
    <tabColor theme="6" tint="0.4"/>
    <pageSetUpPr fitToPage="1"/>
  </sheetPr>
  <dimension ref="A1:Q32"/>
  <sheetViews>
    <sheetView showGridLines="0" zoomScale="90" workbookViewId="0">
      <pane xSplit="5" ySplit="13" topLeftCell="F14" activePane="bottomRight" state="frozen"/>
      <selection pane="bottomLeft" activeCell="A14" sqref="A14"/>
      <selection pane="topRight" activeCell="F1" sqref="F1"/>
      <selection pane="bottomRight" activeCell="A1" sqref="A1"/>
    </sheetView>
  </sheetViews>
  <sheetFormatPr defaultColWidth="10.57421875" customHeight="1" defaultRowHeight="14.25"/>
  <cols>
    <col min="1" max="1" style="2398" width="9.140625" hidden="1" customWidth="1"/>
    <col min="2" max="2" style="1367" width="9.140625" hidden="1" customWidth="1"/>
    <col min="3" max="3" style="345" width="3.00390625" customWidth="1"/>
    <col min="4" max="4" style="1636" width="6.00390625" customWidth="1"/>
    <col min="5" max="6" style="1636" width="64.00390625" customWidth="1"/>
    <col min="7" max="7" style="1636" width="140.00390625" customWidth="1"/>
    <col min="8" max="8" style="1636" width="10.00390625" customWidth="1"/>
    <col min="9" max="10" style="1625" width="10.00390625" customWidth="1"/>
    <col min="11" max="16" style="1636" width="10.00390625" customWidth="1"/>
    <col min="17" max="17" style="1636" width="10.57421875" hidden="1"/>
  </cols>
  <sheetData>
    <row customHeight="1" ht="22.5" hidden="1">
      <c r="M1" s="256"/>
      <c r="N1" s="256"/>
      <c r="P1" s="256"/>
      <c r="Q1" s="84" t="s">
        <v>14</v>
      </c>
    </row>
    <row customHeight="1" ht="14.25" hidden="1">
      <c r="Q2" s="84">
        <v>0</v>
      </c>
    </row>
    <row customHeight="1" ht="14.25" hidden="1">
      <c r="Q3" s="84">
        <v>0</v>
      </c>
    </row>
    <row customHeight="1" ht="3">
      <c r="C4" s="97"/>
      <c r="D4" s="85"/>
      <c r="E4" s="85"/>
      <c r="F4" s="86"/>
      <c r="G4" s="86"/>
      <c r="Q4" s="84">
        <v>3</v>
      </c>
    </row>
    <row customHeight="1" ht="29.25">
      <c r="C5" s="97"/>
      <c r="D5" s="2455" t="str">
        <f>TERMS_NAME_FORM</f>
        <v>Форма 15. Информация об условиях, на которых осуществляется поставка товаров (оказание услуг) в сфере теплоснабжения, цены (тарифы) на которые подлежат регулированию, и (или) условиях договоров о подключении (технологическом присоединении) к системе теплоснабжения, информация об условиях, на которых осуществляется поставка товаров (оказание услуг) по ценам, определяемым по соглашению сторон в соответствии с Федеральным законом от 27 июля 2010 г. N 190-ФЗ "О теплоснабжении", и (или) условиях договоров о подключении (технологическом присоединении) к системе теплоснабжения</v>
      </c>
      <c r="E5" s="2456"/>
      <c r="F5" s="2456"/>
      <c r="G5" s="2457"/>
      <c r="Q5" s="84">
        <v>28</v>
      </c>
    </row>
    <row s="1636" customFormat="1" customHeight="1" ht="18.75">
      <c r="A6" s="883"/>
      <c r="B6" s="418"/>
      <c r="C6" s="377"/>
      <c r="D6" s="2458" t="str">
        <f>IF(org=0,"Не определено",org)</f>
        <v>ПАО "КГК"</v>
      </c>
      <c r="E6" s="2459"/>
      <c r="F6" s="2459"/>
      <c r="G6" s="2460"/>
      <c r="I6" s="501"/>
      <c r="J6" s="501"/>
      <c r="Q6" s="759">
        <v>18</v>
      </c>
    </row>
    <row customHeight="1" ht="14.699999999999998">
      <c r="C7" s="97"/>
      <c r="D7" s="85"/>
      <c r="E7" s="96"/>
      <c r="F7" s="753"/>
      <c r="G7" s="194"/>
      <c r="Q7" s="84">
        <v>14</v>
      </c>
    </row>
    <row s="1636" customFormat="1" customHeight="1" ht="1.05">
      <c r="A8" s="1670"/>
      <c r="B8" s="1161"/>
      <c r="C8" s="377"/>
      <c r="D8" s="364"/>
      <c r="E8" s="390"/>
      <c r="F8" s="753"/>
      <c r="G8" s="194"/>
      <c r="I8" s="1625"/>
      <c r="J8" s="1625"/>
      <c r="Q8" s="1632">
        <v>1</v>
      </c>
    </row>
    <row customHeight="1" ht="14.699999999999998">
      <c r="C9" s="97"/>
      <c r="D9" s="2210" t="s">
        <v>317</v>
      </c>
      <c r="E9" s="2210"/>
      <c r="F9" s="2210"/>
      <c r="G9" s="2390" t="s">
        <v>318</v>
      </c>
      <c r="Q9" s="84">
        <v>14</v>
      </c>
    </row>
    <row customHeight="1" ht="24">
      <c r="C10" s="97"/>
      <c r="D10" s="106" t="s">
        <v>89</v>
      </c>
      <c r="E10" s="109" t="s">
        <v>319</v>
      </c>
      <c r="F10" s="109" t="s">
        <v>407</v>
      </c>
      <c r="G10" s="2390"/>
      <c r="Q10" s="84">
        <v>23</v>
      </c>
    </row>
    <row customHeight="1" ht="12" hidden="1">
      <c r="C11" s="97"/>
      <c r="D11" s="88"/>
      <c r="E11" s="88"/>
      <c r="F11" s="88"/>
      <c r="G11" s="88"/>
      <c r="Q11" s="84">
        <v>0</v>
      </c>
    </row>
    <row customHeight="1" ht="65.25">
      <c r="A12" s="193"/>
      <c r="C12" s="97"/>
      <c r="D12" s="148">
        <v>1</v>
      </c>
      <c r="E12" s="198" t="str">
        <f>TERMS_P_1</f>
        <v>Сведения об условиях публичных договоров регулируемых организаций,  сведения об условиях публичных договоров, заключаемых единой теплоснабжающей организацией в ценовых зонах теплоснабжения, теплоснабжающей организацией в ценовых зонах теплоснабжения и теплосетевой организацией в ценовых зонах теплоснабжения, в том числе</v>
      </c>
      <c r="F12" s="199" t="s">
        <v>323</v>
      </c>
      <c r="G12" s="152"/>
      <c r="Q12" s="84">
        <v>62</v>
      </c>
    </row>
    <row customHeight="1" ht="24">
      <c r="A13" s="193"/>
      <c r="C13" s="97"/>
      <c r="D13" s="148" t="s">
        <v>1040</v>
      </c>
      <c r="E13" s="195" t="str">
        <f>"Форма публичного договора "&amp;IF(TEMPLATE_SPHERE="TKO","на оказание регулируемых услуг","поставки товаров (оказания услуг)")&amp;IF(OR(TEMPLATE_SPHERE&lt;&gt;"HEAT",TEMPLATE_SPHERE&lt;&gt;"TKO"),", тарифы на которые подлежат регулированию","")</f>
        <v>Форма публичного договора поставки товаров (оказания услуг), тарифы на которые подлежат регулированию</v>
      </c>
      <c r="F13" s="199" t="s">
        <v>323</v>
      </c>
      <c r="G13" s="152"/>
      <c r="Q13" s="84">
        <v>23</v>
      </c>
    </row>
    <row customHeight="1" ht="14.699999999999998">
      <c r="A14" s="193"/>
      <c r="C14" s="97"/>
      <c r="D14" s="148" t="s">
        <v>1076</v>
      </c>
      <c r="E14" s="196"/>
      <c r="F14" s="214"/>
      <c r="G14" s="2170" t="str">
        <f>"Указывается форма "&amp;IF(TEMPLATE_SPHERE="TKO","публичного ","")&amp;"договора, "&amp;IF(TEMPLATE_SPHERE="HEAT","","используемая регулируемой организацией, ")&amp;"в виде ссылки на документ, предварительно загруженный в хранилище файлов ФГИС ЕИАС"&amp;IF(TEMPLATE_SPHERE="TKO",", либо ссылка на официальный сайт в сети ""Интернет"", на котором размещена информация","")&amp;".
В случае наличия нескольких форм таких договоров информация по каждой из них указывается в отдельной строке."</f>
        <v>Указывается форма договора, в виде ссылки на документ, предварительно загруженный в хранилище файлов ФГИС ЕИАС.
В случае наличия нескольких форм таких договоров информация по каждой из них указывается в отдельной строке.</v>
      </c>
      <c r="Q14" s="84">
        <v>14</v>
      </c>
    </row>
    <row customHeight="1" ht="15.75">
      <c r="A15" s="193"/>
      <c r="C15" s="97"/>
      <c r="D15" s="110"/>
      <c r="E15" s="350" t="s">
        <v>1136</v>
      </c>
      <c r="F15" s="202"/>
      <c r="G15" s="2172"/>
      <c r="Q15" s="84">
        <v>15</v>
      </c>
    </row>
    <row customHeight="1" ht="14.699999999999998">
      <c r="A16" s="193"/>
      <c r="C16" s="97"/>
      <c r="D16" s="148" t="s">
        <v>1042</v>
      </c>
      <c r="E16" s="195" t="str">
        <f>"Договор о подключении (технологическом присоединении) к"&amp;IF(TEMPLATE_SPHERE="HEAT",""," централизованной")&amp;" системе "&amp;TEMPLATE_SPHERE_RUS</f>
        <v>Договор о подключении (технологическом присоединении) к системе теплоснабжения</v>
      </c>
      <c r="F16" s="199" t="s">
        <v>323</v>
      </c>
      <c r="G16" s="338"/>
      <c r="Q16" s="84">
        <v>14</v>
      </c>
    </row>
    <row customHeight="1" ht="14.699999999999998">
      <c r="A17" s="193"/>
      <c r="C17" s="97"/>
      <c r="D17" s="148" t="s">
        <v>1084</v>
      </c>
      <c r="E17" s="196"/>
      <c r="F17" s="386"/>
      <c r="G17" s="2170" t="str">
        <f>"Информация размещается в случае, если"&amp;IF(TEMPLATE_SPHERE="HEAT",""," регулируемая")&amp;" организация осуществляет услуги по подключению (технологическому присоединению) к системе "&amp;TEMPLATE_SPHERE_RUS&amp;".
Указывается ссылка на документ, предварительно загруженный в хранилище файлов ФГИС ЕИАС.
В случае наличия нескольких договоров о подключении к"&amp;IF(TEMPLATE_SPHERE="HEAT",""," централизованной")&amp;" системе "&amp;TEMPLATE_SPHERE_RUS&amp;" информация по каждому из них указывается в отдельной строке."</f>
        <v>Информация размещается в случае, если организация осуществляет услуги по подключению (технологическому присоединению) к системе теплоснабжения.
Указывается ссылка на документ, предварительно загруженный в хранилище файлов ФГИС ЕИАС.
В случае наличия нескольких договоров о подключении к системе теплоснабжения информация по каждому из них указывается в отдельной строке.</v>
      </c>
      <c r="Q17" s="84">
        <v>14</v>
      </c>
    </row>
    <row s="1636" customFormat="1" customHeight="1" ht="22.049999999999997">
      <c r="A18" s="344"/>
      <c r="B18" s="147"/>
      <c r="C18" s="308"/>
      <c r="D18" s="348"/>
      <c r="E18" s="350" t="s">
        <v>1137</v>
      </c>
      <c r="F18" s="339"/>
      <c r="G18" s="2172"/>
      <c r="I18" s="351"/>
      <c r="J18" s="351"/>
      <c r="Q18" s="343">
        <v>21</v>
      </c>
    </row>
    <row s="1636" customFormat="1" customHeight="1" ht="256.5" hidden="1">
      <c r="A19" s="344"/>
      <c r="B19" s="418"/>
      <c r="C19" s="377"/>
      <c r="D19" s="885" t="s">
        <v>1044</v>
      </c>
      <c r="E19" s="884" t="s">
        <v>1138</v>
      </c>
      <c r="F19" s="386"/>
      <c r="G19" s="338" t="s">
        <v>1139</v>
      </c>
      <c r="I19" s="501"/>
      <c r="J19" s="501"/>
      <c r="Q19" s="759">
        <v>0</v>
      </c>
    </row>
    <row s="1636" customFormat="1" customHeight="1" ht="14.699999999999998">
      <c r="A20" s="344"/>
      <c r="B20" s="147"/>
      <c r="C20" s="308"/>
      <c r="D20" s="886">
        <v>2</v>
      </c>
      <c r="E20" s="331" t="s">
        <v>1140</v>
      </c>
      <c r="F20" s="199" t="s">
        <v>323</v>
      </c>
      <c r="G20" s="338"/>
      <c r="I20" s="351"/>
      <c r="J20" s="351"/>
      <c r="Q20" s="343">
        <v>14</v>
      </c>
    </row>
    <row s="1636" customFormat="1" customHeight="1" ht="18.75" hidden="1">
      <c r="A21" s="344"/>
      <c r="B21" s="147"/>
      <c r="C21" s="308"/>
      <c r="D21" s="334" t="s">
        <v>655</v>
      </c>
      <c r="E21" s="333"/>
      <c r="F21" s="332"/>
      <c r="G21" s="342"/>
      <c r="H21" s="335"/>
      <c r="I21" s="351"/>
      <c r="J21" s="351"/>
      <c r="Q21" s="343">
        <v>0</v>
      </c>
    </row>
    <row customHeight="1" ht="15.75">
      <c r="A22" s="193"/>
      <c r="C22" s="97"/>
      <c r="D22" s="110"/>
      <c r="E22" s="204" t="s">
        <v>339</v>
      </c>
      <c r="F22" s="339"/>
      <c r="G22" s="340"/>
      <c r="Q22" s="84">
        <v>15</v>
      </c>
    </row>
    <row s="1636" customFormat="1" customHeight="1" ht="22.5" hidden="1">
      <c r="A23" s="344"/>
      <c r="B23" s="1161"/>
      <c r="C23" s="377"/>
      <c r="D23" s="1674" t="s">
        <v>103</v>
      </c>
      <c r="E23" s="198" t="s">
        <v>1141</v>
      </c>
      <c r="F23" s="1671" t="s">
        <v>323</v>
      </c>
      <c r="G23" s="346"/>
      <c r="I23" s="1625"/>
      <c r="J23" s="1625"/>
      <c r="Q23" s="1632">
        <v>0</v>
      </c>
    </row>
    <row s="1636" customFormat="1" customHeight="1" ht="14.25" hidden="1">
      <c r="A24" s="344"/>
      <c r="B24" s="1161"/>
      <c r="C24" s="377"/>
      <c r="D24" s="1674" t="s">
        <v>727</v>
      </c>
      <c r="E24" s="1673" t="s">
        <v>1142</v>
      </c>
      <c r="F24" s="1671" t="s">
        <v>323</v>
      </c>
      <c r="G24" s="338"/>
      <c r="I24" s="1625"/>
      <c r="J24" s="1625"/>
      <c r="Q24" s="1632">
        <v>0</v>
      </c>
    </row>
    <row s="1636" customFormat="1" customHeight="1" ht="14.25" hidden="1">
      <c r="A25" s="344"/>
      <c r="B25" s="1161"/>
      <c r="C25" s="377"/>
      <c r="D25" s="1674" t="s">
        <v>730</v>
      </c>
      <c r="E25" s="196"/>
      <c r="F25" s="386"/>
      <c r="G25" s="2170" t="s">
        <v>1143</v>
      </c>
      <c r="I25" s="1625"/>
      <c r="J25" s="1625"/>
      <c r="Q25" s="1632">
        <v>0</v>
      </c>
    </row>
    <row s="1636" customFormat="1" customHeight="1" ht="22.5" hidden="1">
      <c r="A26" s="344"/>
      <c r="B26" s="1161"/>
      <c r="C26" s="377"/>
      <c r="D26" s="348"/>
      <c r="E26" s="350" t="s">
        <v>1144</v>
      </c>
      <c r="F26" s="339"/>
      <c r="G26" s="2172"/>
      <c r="I26" s="1625"/>
      <c r="J26" s="1625"/>
      <c r="Q26" s="1632">
        <v>0</v>
      </c>
    </row>
    <row customHeight="1" ht="3">
      <c r="Q27" s="84">
        <v>3</v>
      </c>
    </row>
    <row customHeight="1" ht="14.699999999999998">
      <c r="D28" s="337"/>
      <c r="E28" s="336"/>
      <c r="F28" s="316"/>
      <c r="G28" s="316"/>
      <c r="H28" s="316"/>
      <c r="I28" s="316"/>
      <c r="J28" s="316"/>
      <c r="K28" s="316"/>
      <c r="L28" s="316"/>
      <c r="M28" s="316"/>
      <c r="N28" s="316"/>
      <c r="O28" s="316"/>
      <c r="P28" s="316"/>
      <c r="Q28" s="84">
        <v>14</v>
      </c>
    </row>
    <row customHeight="1" ht="14.699999999999998">
      <c r="D29" s="337"/>
      <c r="E29" s="583"/>
      <c r="Q29" s="84">
        <v>14</v>
      </c>
    </row>
    <row customHeight="1" ht="14.699999999999998">
      <c r="Q30" s="84">
        <v>14</v>
      </c>
    </row>
    <row customHeight="1" ht="14.699999999999998">
      <c r="E31" s="759"/>
      <c r="Q31" s="84">
        <v>14</v>
      </c>
    </row>
    <row customHeight="1" ht="22.5" hidden="1">
      <c r="A32" s="102" t="s">
        <v>83</v>
      </c>
      <c r="B32" s="147">
        <v>0</v>
      </c>
      <c r="C32" s="98">
        <v>3</v>
      </c>
      <c r="D32" s="84">
        <v>6</v>
      </c>
      <c r="E32" s="84">
        <v>64</v>
      </c>
      <c r="F32" s="84">
        <v>64</v>
      </c>
      <c r="G32" s="84">
        <v>140</v>
      </c>
      <c r="H32" s="84">
        <v>10</v>
      </c>
      <c r="I32" s="156">
        <v>10</v>
      </c>
      <c r="J32" s="156">
        <v>10</v>
      </c>
      <c r="K32" s="84">
        <v>10</v>
      </c>
      <c r="L32" s="84">
        <v>10</v>
      </c>
      <c r="M32" s="84">
        <v>10</v>
      </c>
      <c r="N32" s="84">
        <v>10</v>
      </c>
      <c r="O32" s="84">
        <v>10</v>
      </c>
      <c r="P32" s="84">
        <v>10</v>
      </c>
      <c r="Q32" s="84">
        <v>23</v>
      </c>
    </row>
  </sheetData>
  <sheetProtection formatColumns="0" formatRows="0" autoFilter="0" sort="0" insertRows="0" insertColumns="1" deleteRows="0" deleteColumns="0"/>
  <mergeCells count="7">
    <mergeCell ref="D5:G5"/>
    <mergeCell ref="D6:G6"/>
    <mergeCell ref="G25:G26"/>
    <mergeCell ref="G17:G18"/>
    <mergeCell ref="D9:F9"/>
    <mergeCell ref="G9:G10"/>
    <mergeCell ref="G14:G15"/>
  </mergeCells>
  <dataValidations count="2">
    <dataValidation type="textLength" operator="lessThanOrEqual" allowBlank="1" showInputMessage="1" showErrorMessage="1" errorTitle="Ошибка" error="Допускается ввод не более 900 символов!" sqref="G14 G25 E17 E14 G17 G21 E25">
      <formula1>900</formula1>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F14 F17:F19 F25:F26">
      <formula1>900</formula1>
    </dataValidation>
  </dataValidations>
  <printOptions horizontalCentered="1" verticalCentered="1"/>
  <pageMargins left="0.00" right="0.00" top="0.00" bottom="0.00" header="0.00" footer="0.79"/>
  <pageSetup paperSize="9" scale="41" fitToHeight="0" pageOrder="downThenOver" orientation="portrait" blackAndWhite="1"/>
  <headerFooter>
    <oddHeader>&amp;L&amp;C&amp;R</oddHeader>
    <oddFooter>&amp;L&amp;C&amp;R</oddFooter>
    <evenHeader>&amp;L&amp;C&amp;R</evenHeader>
    <evenFooter>&amp;L&amp;C&amp;R</evenFooter>
  </headerFooter>
</worksheet>
</file>

<file path=xl/worksheets/sheet4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A5B32478-89BE-84C5-20F8-F5FDDCC21898}" mc:Ignorable="x14ac xr xr2 xr3">
  <sheetPr>
    <tabColor theme="6" tint="0.4"/>
  </sheetPr>
  <dimension ref="A1:M43"/>
  <sheetViews>
    <sheetView showGridLines="0" zoomScale="90" workbookViewId="0">
      <pane xSplit="6" ySplit="21" topLeftCell="G22" activePane="bottomRight" state="frozen"/>
      <selection pane="bottomLeft" activeCell="A22" sqref="A22"/>
      <selection pane="topRight" activeCell="G1" sqref="G1"/>
      <selection pane="bottomRight" activeCell="A1" sqref="A1"/>
    </sheetView>
  </sheetViews>
  <sheetFormatPr defaultColWidth="10.57421875" customHeight="1" defaultRowHeight="14.25"/>
  <cols>
    <col min="1" max="1" style="1777" width="9.140625" hidden="1" customWidth="1"/>
    <col min="2" max="2" style="1367" width="9.140625" hidden="1" customWidth="1"/>
    <col min="3" max="3" style="345" width="3.00390625" customWidth="1"/>
    <col min="4" max="4" style="1636" width="6.00390625" customWidth="1"/>
    <col min="5" max="5" style="1636" width="63.00390625" customWidth="1"/>
    <col min="6" max="6" style="1636" width="1.7109375" hidden="1" customWidth="1"/>
    <col min="7" max="8" style="1636" width="35.00390625" customWidth="1"/>
    <col min="9" max="9" style="1636" width="91.00390625" customWidth="1"/>
    <col min="10" max="10" style="1636" width="68.00390625" customWidth="1"/>
    <col min="11" max="12" style="1625" width="10.00390625" customWidth="1"/>
    <col min="13" max="13" style="1636" width="10.57421875" hidden="1"/>
  </cols>
  <sheetData>
    <row customHeight="1" ht="22.5" hidden="1">
      <c r="M1" s="84" t="s">
        <v>14</v>
      </c>
    </row>
    <row s="1636" customFormat="1" customHeight="1" ht="18.75" hidden="1">
      <c r="A2" s="1684"/>
      <c r="B2" s="1161"/>
      <c r="C2" s="1731" t="s">
        <v>104</v>
      </c>
      <c r="D2" s="1674"/>
      <c r="E2" s="200"/>
      <c r="F2" s="1671"/>
      <c r="G2" s="1671" t="s">
        <v>323</v>
      </c>
      <c r="H2" s="1162"/>
      <c r="K2" s="1625"/>
      <c r="L2" s="1625"/>
      <c r="M2" s="1632">
        <v>0</v>
      </c>
    </row>
    <row s="1636" customFormat="1" customHeight="1" ht="14.25" hidden="1">
      <c r="A3" s="1363"/>
      <c r="B3" s="1161"/>
      <c r="C3" s="345"/>
      <c r="K3" s="1625"/>
      <c r="L3" s="1625"/>
      <c r="M3" s="1632">
        <v>0</v>
      </c>
    </row>
    <row s="1636" customFormat="1" customHeight="1" ht="18.75" hidden="1">
      <c r="A4" s="1684"/>
      <c r="B4" s="1161"/>
      <c r="C4" s="1731" t="s">
        <v>104</v>
      </c>
      <c r="D4" s="1674"/>
      <c r="E4" s="206" t="s">
        <v>1145</v>
      </c>
      <c r="F4" s="1671"/>
      <c r="G4" s="258"/>
      <c r="H4" s="1671" t="s">
        <v>323</v>
      </c>
      <c r="K4" s="1625"/>
      <c r="L4" s="1625"/>
      <c r="M4" s="1632">
        <v>0</v>
      </c>
    </row>
    <row s="1636" customFormat="1" customHeight="1" ht="14.25" hidden="1">
      <c r="A5" s="1363"/>
      <c r="B5" s="1161"/>
      <c r="C5" s="345"/>
      <c r="K5" s="1625"/>
      <c r="L5" s="1625"/>
      <c r="M5" s="1632">
        <v>0</v>
      </c>
    </row>
    <row s="1636" customFormat="1" customHeight="1" ht="18.75" hidden="1">
      <c r="A6" s="1684"/>
      <c r="B6" s="1161"/>
      <c r="C6" s="1731" t="s">
        <v>104</v>
      </c>
      <c r="D6" s="1674"/>
      <c r="E6" s="207" t="s">
        <v>1146</v>
      </c>
      <c r="F6" s="1671"/>
      <c r="G6" s="258"/>
      <c r="H6" s="1671" t="s">
        <v>323</v>
      </c>
      <c r="K6" s="1625"/>
      <c r="L6" s="1625"/>
      <c r="M6" s="1632">
        <v>0</v>
      </c>
    </row>
    <row s="1636" customFormat="1" customHeight="1" ht="14.25" hidden="1">
      <c r="A7" s="1363"/>
      <c r="B7" s="1161"/>
      <c r="C7" s="345"/>
      <c r="K7" s="1625"/>
      <c r="L7" s="1625"/>
      <c r="M7" s="1632">
        <v>0</v>
      </c>
    </row>
    <row s="1636" customFormat="1" customHeight="1" ht="18.75" hidden="1">
      <c r="A8" s="1684"/>
      <c r="B8" s="1161"/>
      <c r="C8" s="1731" t="s">
        <v>104</v>
      </c>
      <c r="D8" s="1674"/>
      <c r="E8" s="207" t="s">
        <v>1147</v>
      </c>
      <c r="F8" s="1671"/>
      <c r="G8" s="258"/>
      <c r="H8" s="1671" t="s">
        <v>323</v>
      </c>
      <c r="K8" s="1625"/>
      <c r="L8" s="1625"/>
      <c r="M8" s="1632">
        <v>0</v>
      </c>
    </row>
    <row s="1636" customFormat="1" customHeight="1" ht="14.25" hidden="1">
      <c r="A9" s="1363"/>
      <c r="B9" s="1161"/>
      <c r="C9" s="345"/>
      <c r="K9" s="1625"/>
      <c r="L9" s="1625"/>
      <c r="M9" s="1632">
        <v>0</v>
      </c>
    </row>
    <row s="1636" customFormat="1" customHeight="1" ht="18.75" hidden="1">
      <c r="A10" s="1684"/>
      <c r="B10" s="1161"/>
      <c r="C10" s="1731" t="s">
        <v>104</v>
      </c>
      <c r="D10" s="1674"/>
      <c r="E10" s="207" t="s">
        <v>1148</v>
      </c>
      <c r="F10" s="1671"/>
      <c r="G10" s="1675"/>
      <c r="H10" s="1671" t="s">
        <v>323</v>
      </c>
      <c r="K10" s="1625"/>
      <c r="L10" s="1625" t="s">
        <v>1149</v>
      </c>
      <c r="M10" s="1632">
        <v>0</v>
      </c>
    </row>
    <row customHeight="1" ht="14.25" hidden="1">
      <c r="M11" s="84">
        <v>0</v>
      </c>
    </row>
    <row customHeight="1" ht="14.25" hidden="1">
      <c r="M12" s="84">
        <v>0</v>
      </c>
    </row>
    <row customHeight="1" ht="14.699999999999998">
      <c r="C13" s="97"/>
      <c r="D13" s="85"/>
      <c r="E13" s="85"/>
      <c r="F13" s="85"/>
      <c r="G13" s="85"/>
      <c r="H13" s="86"/>
      <c r="I13" s="86"/>
      <c r="M13" s="84">
        <v>14</v>
      </c>
    </row>
    <row customHeight="1" ht="29.25">
      <c r="C14" s="97"/>
      <c r="D14" s="2455" t="str">
        <f>PROCEDURE_TC_NAME_FORM</f>
        <v>Форма 16. Информация о порядке выполнения технологических, технических и других мероприятий, связанных с подключением (технологическим присоединением) к системе теплоснабжения</v>
      </c>
      <c r="E14" s="2456"/>
      <c r="F14" s="2456"/>
      <c r="G14" s="2456"/>
      <c r="H14" s="2457"/>
      <c r="J14" s="1632"/>
      <c r="M14" s="84">
        <v>28</v>
      </c>
    </row>
    <row s="1636" customFormat="1" customHeight="1" ht="14.699999999999998">
      <c r="A15" s="1363"/>
      <c r="B15" s="1161"/>
      <c r="C15" s="377"/>
      <c r="D15" s="2458" t="str">
        <f>IF(org=0,"Не определено",org)</f>
        <v>ПАО "КГК"</v>
      </c>
      <c r="E15" s="2459"/>
      <c r="F15" s="2459"/>
      <c r="G15" s="2459"/>
      <c r="H15" s="2460"/>
      <c r="J15" s="853"/>
      <c r="K15" s="1625"/>
      <c r="L15" s="1625"/>
      <c r="M15" s="1632">
        <v>14</v>
      </c>
    </row>
    <row customHeight="1" ht="14.699999999999998">
      <c r="C16" s="97"/>
      <c r="D16" s="85"/>
      <c r="E16" s="96"/>
      <c r="F16" s="96"/>
      <c r="G16" s="96"/>
      <c r="H16" s="753"/>
      <c r="I16" s="194"/>
      <c r="M16" s="84">
        <v>14</v>
      </c>
    </row>
    <row s="1636" customFormat="1" customHeight="1" ht="14.25" hidden="1">
      <c r="A17" s="1363"/>
      <c r="B17" s="1161"/>
      <c r="C17" s="377"/>
      <c r="D17" s="364"/>
      <c r="E17" s="390"/>
      <c r="F17" s="390"/>
      <c r="G17" s="390"/>
      <c r="H17" s="753"/>
      <c r="I17" s="194"/>
      <c r="K17" s="1625"/>
      <c r="L17" s="1625"/>
      <c r="M17" s="1632">
        <v>0</v>
      </c>
    </row>
    <row customHeight="1" ht="22.049999999999997">
      <c r="C18" s="97"/>
      <c r="D18" s="2210" t="s">
        <v>317</v>
      </c>
      <c r="E18" s="2210"/>
      <c r="F18" s="2210"/>
      <c r="G18" s="2210"/>
      <c r="H18" s="2210"/>
      <c r="I18" s="2390" t="s">
        <v>318</v>
      </c>
      <c r="M18" s="84">
        <v>21</v>
      </c>
    </row>
    <row customHeight="1" ht="22.049999999999997">
      <c r="C19" s="97"/>
      <c r="D19" s="106" t="s">
        <v>89</v>
      </c>
      <c r="E19" s="109" t="s">
        <v>319</v>
      </c>
      <c r="F19" s="109"/>
      <c r="G19" s="109" t="s">
        <v>320</v>
      </c>
      <c r="H19" s="109" t="s">
        <v>407</v>
      </c>
      <c r="I19" s="2390"/>
      <c r="M19" s="84">
        <v>21</v>
      </c>
    </row>
    <row customHeight="1" ht="12" hidden="1">
      <c r="C20" s="97"/>
      <c r="D20" s="88"/>
      <c r="E20" s="88"/>
      <c r="F20" s="88"/>
      <c r="G20" s="88"/>
      <c r="H20" s="88"/>
      <c r="I20" s="88"/>
      <c r="M20" s="84">
        <v>0</v>
      </c>
    </row>
    <row customHeight="1" ht="14.699999999999998">
      <c r="A21" s="1684"/>
      <c r="C21" s="97"/>
      <c r="D21" s="148">
        <v>1</v>
      </c>
      <c r="E21" s="2462" t="s">
        <v>1150</v>
      </c>
      <c r="F21" s="2462"/>
      <c r="G21" s="2462"/>
      <c r="H21" s="2462"/>
      <c r="I21" s="209"/>
      <c r="M21" s="84">
        <v>14</v>
      </c>
    </row>
    <row customHeight="1" ht="21">
      <c r="A22" s="1684"/>
      <c r="C22" s="97"/>
      <c r="D22" s="148" t="s">
        <v>1040</v>
      </c>
      <c r="E22" s="195" t="s">
        <v>1151</v>
      </c>
      <c r="F22" s="199"/>
      <c r="G22" s="1738"/>
      <c r="H22" s="199" t="s">
        <v>323</v>
      </c>
      <c r="I22" s="152" t="s">
        <v>1152</v>
      </c>
      <c r="M22" s="84">
        <v>20</v>
      </c>
    </row>
    <row customHeight="1" ht="60">
      <c r="A23" s="1684"/>
      <c r="C23" s="97"/>
      <c r="D23" s="148" t="s">
        <v>1042</v>
      </c>
      <c r="E23" s="195" t="s">
        <v>1153</v>
      </c>
      <c r="F23" s="199"/>
      <c r="G23" s="258"/>
      <c r="H23" s="214"/>
      <c r="I23" s="259" t="s">
        <v>1154</v>
      </c>
      <c r="M23" s="84">
        <v>57</v>
      </c>
    </row>
    <row customHeight="1" ht="14.699999999999998">
      <c r="A24" s="1684"/>
      <c r="B24" s="147">
        <v>3</v>
      </c>
      <c r="C24" s="97"/>
      <c r="D24" s="148">
        <v>2</v>
      </c>
      <c r="E24" s="223" t="str">
        <f>"Форма заявки на заключение договора о подключении (технологическом присоединении) к системе "&amp;TEMPLATE_SPHERE_RUS</f>
        <v>Форма заявки на заключение договора о подключении (технологическом присоединении) к системе теплоснабжения</v>
      </c>
      <c r="F24" s="199"/>
      <c r="G24" s="199" t="s">
        <v>323</v>
      </c>
      <c r="H24" s="214"/>
      <c r="I24" s="260" t="s">
        <v>650</v>
      </c>
      <c r="M24" s="84">
        <v>14</v>
      </c>
    </row>
    <row customHeight="1" ht="48.29999999999999">
      <c r="A25" s="1684"/>
      <c r="C25" s="97"/>
      <c r="D25" s="148">
        <v>3</v>
      </c>
      <c r="E25" s="2461" t="str">
        <f>"Перечень документов и сведений, представляемых одновременно "&amp;IF(TEMPLATE_SPHERE="HEAT","с заявкой на заключение","с заявлением о заключении")&amp;" договора о подключении (технологическом присоединении) к системе "&amp;TEMPLATE_SPHERE_RUS&amp;IF(TEMPLATE_SPHERE="HEAT","",", и указание на запрет требовать представления документов и сведений или осуществления действий, не предусмотренных законодательством Российской Федерации"&amp;" о градостроительной деятельности и законодательством Российской Федерации в сфере водоснабжения и водоотведения")</f>
        <v>Перечень документов и сведений, представляемых одновременно с заявкой на заключение договора о подключении (технологическом присоединении) к системе теплоснабжения</v>
      </c>
      <c r="F25" s="2461"/>
      <c r="G25" s="2461"/>
      <c r="H25" s="2461"/>
      <c r="I25" s="257"/>
      <c r="M25" s="84">
        <v>46</v>
      </c>
    </row>
    <row customHeight="1" ht="14.699999999999998">
      <c r="A26" s="1684"/>
      <c r="C26" s="97"/>
      <c r="D26" s="148" t="s">
        <v>341</v>
      </c>
      <c r="E26" s="200"/>
      <c r="F26" s="199"/>
      <c r="G26" s="199" t="s">
        <v>323</v>
      </c>
      <c r="H26" s="214"/>
      <c r="I26" s="2170" t="s">
        <v>1155</v>
      </c>
      <c r="M26" s="84">
        <v>14</v>
      </c>
    </row>
    <row customHeight="1" ht="15.75">
      <c r="A27" s="1684" t="s">
        <v>118</v>
      </c>
      <c r="C27" s="97"/>
      <c r="D27" s="110"/>
      <c r="E27" s="204" t="s">
        <v>339</v>
      </c>
      <c r="F27" s="205"/>
      <c r="G27" s="205"/>
      <c r="H27" s="202"/>
      <c r="I27" s="2172"/>
      <c r="M27" s="84">
        <v>15</v>
      </c>
    </row>
    <row customHeight="1" ht="39.75">
      <c r="A28" s="1684"/>
      <c r="B28" s="147">
        <v>3</v>
      </c>
      <c r="C28" s="97"/>
      <c r="D28" s="148">
        <v>4</v>
      </c>
      <c r="E28" s="2461" t="str">
        <f>"Реквизиты нормативных правовых актов, регламентирующих порядок действий заявителя и "&amp;IF(TEMPLATE_SPHERE="HEAT","регулируемой ","")&amp;"организации"&amp;IF(TEMPLATE_SPHERE="HEAT",""," "&amp;TEMPLATE_SPHERE_RUS)&amp;" при подаче, приеме, обработке "&amp;IF(TEMPLATE_SPHERE="HEAT","заявки на заключение","заявления о заключении")&amp;" договора о подключении (технологическом присоединении) к системе "&amp;TEMPLATE_SPHERE_RUS&amp;IF(TEMPLATE_SPHERE="HEAT",""," (в том числе в форме электронного документа)")</f>
        <v>Реквизиты нормативных правовых актов, регламентирующих порядок действий заявителя и регулируемой организации при подаче, приеме, обработке заявки на заключение договора о подключении (технологическом присоединении) к системе теплоснабжения</v>
      </c>
      <c r="F28" s="2461"/>
      <c r="G28" s="2461"/>
      <c r="H28" s="2461"/>
      <c r="I28" s="257"/>
      <c r="M28" s="84">
        <v>38</v>
      </c>
    </row>
    <row customHeight="1" ht="21">
      <c r="A29" s="1684"/>
      <c r="C29" s="97"/>
      <c r="D29" s="148" t="s">
        <v>772</v>
      </c>
      <c r="E29" s="206" t="s">
        <v>1145</v>
      </c>
      <c r="F29" s="199"/>
      <c r="G29" s="258"/>
      <c r="H29" s="199" t="s">
        <v>323</v>
      </c>
      <c r="I29" s="2170" t="s">
        <v>1156</v>
      </c>
      <c r="M29" s="84">
        <v>20</v>
      </c>
    </row>
    <row customHeight="1" ht="15.75">
      <c r="A30" s="1684" t="s">
        <v>103</v>
      </c>
      <c r="C30" s="97"/>
      <c r="D30" s="110"/>
      <c r="E30" s="204" t="s">
        <v>339</v>
      </c>
      <c r="F30" s="205"/>
      <c r="G30" s="205"/>
      <c r="H30" s="202"/>
      <c r="I30" s="2172"/>
      <c r="M30" s="84">
        <v>15</v>
      </c>
    </row>
    <row customHeight="1" ht="31.5">
      <c r="A31" s="1684"/>
      <c r="B31" s="147">
        <v>3</v>
      </c>
      <c r="C31" s="97"/>
      <c r="D31" s="148">
        <v>5</v>
      </c>
      <c r="E31" s="2461" t="str">
        <f>"Телефоны, адреса и график работы службы, ответственной за прием и обработку заявок на заключение договора о подключении (технологическом присоединении) к системе "&amp;TEMPLATE_SPHERE_RUS</f>
        <v>Телефоны, адреса и график работы службы, ответственной за прием и обработку заявок на заключение договора о подключении (технологическом присоединении) к системе теплоснабжения</v>
      </c>
      <c r="F31" s="2461"/>
      <c r="G31" s="2461"/>
      <c r="H31" s="2461"/>
      <c r="I31" s="257"/>
      <c r="M31" s="84">
        <v>30</v>
      </c>
    </row>
    <row customHeight="1" ht="27.299999999999997">
      <c r="A32" s="1684"/>
      <c r="C32" s="97"/>
      <c r="D32" s="148" t="s">
        <v>330</v>
      </c>
      <c r="E32" s="2404" t="str">
        <f>"телефоны службы, ответственной за прием и обработку заявок на заключение договора о подключении (технологическом присоединении) к системе "&amp;TEMPLATE_SPHERE_RUS</f>
        <v>телефоны службы, ответственной за прием и обработку заявок на заключение договора о подключении (технологическом присоединении) к системе теплоснабжения</v>
      </c>
      <c r="F32" s="2404"/>
      <c r="G32" s="2404"/>
      <c r="H32" s="2404"/>
      <c r="I32" s="257"/>
      <c r="M32" s="84">
        <v>26</v>
      </c>
    </row>
    <row customHeight="1" ht="14.699999999999998">
      <c r="A33" s="1684"/>
      <c r="C33" s="97"/>
      <c r="D33" s="148" t="s">
        <v>1157</v>
      </c>
      <c r="E33" s="207" t="s">
        <v>1146</v>
      </c>
      <c r="F33" s="199"/>
      <c r="G33" s="258"/>
      <c r="H33" s="199" t="s">
        <v>323</v>
      </c>
      <c r="I33" s="2170" t="s">
        <v>1158</v>
      </c>
      <c r="M33" s="84">
        <v>14</v>
      </c>
    </row>
    <row customHeight="1" ht="15.75">
      <c r="A34" s="1684" t="s">
        <v>91</v>
      </c>
      <c r="C34" s="97"/>
      <c r="D34" s="110"/>
      <c r="E34" s="205" t="s">
        <v>339</v>
      </c>
      <c r="F34" s="201"/>
      <c r="G34" s="201"/>
      <c r="H34" s="202"/>
      <c r="I34" s="2172"/>
      <c r="M34" s="84">
        <v>15</v>
      </c>
    </row>
    <row customHeight="1" ht="25.2">
      <c r="A35" s="1684"/>
      <c r="C35" s="97"/>
      <c r="D35" s="148" t="s">
        <v>900</v>
      </c>
      <c r="E35" s="2404" t="str">
        <f>"адреса службы, ответственной за прием и обработку заявок на заключение договора о подключении (технологическом присоединении) к системе "&amp;TEMPLATE_SPHERE_RUS</f>
        <v>адреса службы, ответственной за прием и обработку заявок на заключение договора о подключении (технологическом присоединении) к системе теплоснабжения</v>
      </c>
      <c r="F35" s="2404"/>
      <c r="G35" s="2404"/>
      <c r="H35" s="2404"/>
      <c r="I35" s="257"/>
      <c r="M35" s="84">
        <v>24</v>
      </c>
    </row>
    <row customHeight="1" ht="14.699999999999998">
      <c r="A36" s="1684"/>
      <c r="C36" s="97"/>
      <c r="D36" s="148" t="s">
        <v>1159</v>
      </c>
      <c r="E36" s="207" t="s">
        <v>1147</v>
      </c>
      <c r="F36" s="199"/>
      <c r="G36" s="258"/>
      <c r="H36" s="199" t="s">
        <v>323</v>
      </c>
      <c r="I36" s="2144" t="s">
        <v>1160</v>
      </c>
      <c r="M36" s="84">
        <v>14</v>
      </c>
    </row>
    <row customHeight="1" ht="15.75">
      <c r="A37" s="1684" t="s">
        <v>92</v>
      </c>
      <c r="C37" s="97"/>
      <c r="D37" s="110"/>
      <c r="E37" s="205" t="s">
        <v>339</v>
      </c>
      <c r="F37" s="201"/>
      <c r="G37" s="201"/>
      <c r="H37" s="202"/>
      <c r="I37" s="2144"/>
      <c r="M37" s="84">
        <v>15</v>
      </c>
    </row>
    <row customHeight="1" ht="27.299999999999997">
      <c r="A38" s="1684"/>
      <c r="C38" s="97"/>
      <c r="D38" s="148" t="s">
        <v>901</v>
      </c>
      <c r="E38" s="2404" t="str">
        <f>"график работы службы, ответственной за прием и обработку заявок на заключение договора о подключении (технологическом присоединении) к системе "&amp;TEMPLATE_SPHERE_RUS</f>
        <v>график работы службы, ответственной за прием и обработку заявок на заключение договора о подключении (технологическом присоединении) к системе теплоснабжения</v>
      </c>
      <c r="F38" s="2404"/>
      <c r="G38" s="2404"/>
      <c r="H38" s="2404"/>
      <c r="I38" s="257"/>
      <c r="M38" s="84">
        <v>26</v>
      </c>
    </row>
    <row customHeight="1" ht="14.699999999999998">
      <c r="A39" s="1684"/>
      <c r="C39" s="97"/>
      <c r="D39" s="148" t="s">
        <v>902</v>
      </c>
      <c r="E39" s="207" t="s">
        <v>1148</v>
      </c>
      <c r="F39" s="199"/>
      <c r="G39" s="208"/>
      <c r="H39" s="199" t="s">
        <v>323</v>
      </c>
      <c r="I39" s="2170" t="s">
        <v>1161</v>
      </c>
      <c r="L39" s="156" t="s">
        <v>1149</v>
      </c>
      <c r="M39" s="84">
        <v>14</v>
      </c>
    </row>
    <row customHeight="1" ht="15.75">
      <c r="A40" s="1684" t="s">
        <v>119</v>
      </c>
      <c r="C40" s="97"/>
      <c r="D40" s="110"/>
      <c r="E40" s="205" t="s">
        <v>339</v>
      </c>
      <c r="F40" s="201"/>
      <c r="G40" s="201"/>
      <c r="H40" s="202"/>
      <c r="I40" s="2172"/>
      <c r="M40" s="84">
        <v>15</v>
      </c>
    </row>
    <row s="1824" customFormat="1" customHeight="1" ht="3">
      <c r="A41" s="1684"/>
      <c r="K41" s="197"/>
      <c r="L41" s="197"/>
      <c r="M41" s="141">
        <v>3</v>
      </c>
    </row>
    <row customHeight="1" ht="26.25">
      <c r="D42" s="1682" t="s">
        <v>822</v>
      </c>
      <c r="E42" s="2286" t="str">
        <f>"Информация размещается в случае, если организация осуществляет услуги по подключению (технологическому присоединению) к системе "&amp;TEMPLATE_SPHERE_RUS&amp;"."</f>
        <v>Информация размещается в случае, если организация осуществляет услуги по подключению (технологическому присоединению) к системе теплоснабжения.</v>
      </c>
      <c r="F42" s="2286"/>
      <c r="G42" s="2286"/>
      <c r="H42" s="2286"/>
      <c r="I42" s="2286"/>
      <c r="M42" s="84">
        <v>25</v>
      </c>
    </row>
    <row customHeight="1" ht="22.5" hidden="1">
      <c r="A43" s="1363" t="s">
        <v>83</v>
      </c>
      <c r="B43" s="147">
        <v>0</v>
      </c>
      <c r="C43" s="98">
        <v>3</v>
      </c>
      <c r="D43" s="84">
        <v>6</v>
      </c>
      <c r="E43" s="84">
        <v>63</v>
      </c>
      <c r="F43" s="84">
        <v>0</v>
      </c>
      <c r="G43" s="84">
        <v>35</v>
      </c>
      <c r="H43" s="84">
        <v>35</v>
      </c>
      <c r="I43" s="84">
        <v>91</v>
      </c>
      <c r="J43" s="84">
        <v>68</v>
      </c>
      <c r="K43" s="156">
        <v>10</v>
      </c>
      <c r="L43" s="156">
        <v>10</v>
      </c>
      <c r="M43" s="84">
        <v>23</v>
      </c>
    </row>
  </sheetData>
  <sheetProtection formatColumns="0" formatRows="0" autoFilter="0" sort="0" insertRows="0" insertColumns="1" deleteRows="0" deleteColumns="0"/>
  <mergeCells count="17">
    <mergeCell ref="I29:I30"/>
    <mergeCell ref="E31:H31"/>
    <mergeCell ref="D14:H14"/>
    <mergeCell ref="D18:H18"/>
    <mergeCell ref="I18:I19"/>
    <mergeCell ref="E21:H21"/>
    <mergeCell ref="E25:H25"/>
    <mergeCell ref="I26:I27"/>
    <mergeCell ref="E28:H28"/>
    <mergeCell ref="D15:H15"/>
    <mergeCell ref="E42:I42"/>
    <mergeCell ref="E32:H32"/>
    <mergeCell ref="E35:H35"/>
    <mergeCell ref="E38:H38"/>
    <mergeCell ref="I33:I34"/>
    <mergeCell ref="I36:I37"/>
    <mergeCell ref="I39:I40"/>
  </mergeCells>
  <dataValidations count="4">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G22"/>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G10 G39">
      <formula1>"a"</formula1>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H26 H23:H24 H2">
      <formula1>900</formula1>
    </dataValidation>
    <dataValidation type="textLength" operator="lessThanOrEqual" allowBlank="1" showInputMessage="1" showErrorMessage="1" errorTitle="Ошибка" error="Допускается ввод не более 900 символов!" sqref="I23:I24 I33 G36 I39 I26 E29 G33 E36 I29 E33 I36 G23 E26 I10 E23 G29 E10 G8 E2 I2 I4 G4 E4 E6 I6 G6 E8 I8 E39">
      <formula1>900</formula1>
    </dataValidation>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drawing r:id="rId1"/>
</worksheet>
</file>

<file path=xl/worksheets/sheet4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23759B09-25A3-1518-F568-59155309F348}" mc:Ignorable="x14ac xr xr2 xr3">
  <sheetPr>
    <tabColor theme="6" tint="0.4"/>
  </sheetPr>
  <dimension ref="A1:AH342"/>
  <sheetViews>
    <sheetView showGridLines="0" zoomScale="75" workbookViewId="0" tabSelected="1">
      <pane xSplit="7" ySplit="21" topLeftCell="H150" activePane="bottomRight" state="frozen"/>
      <selection pane="bottomLeft" activeCell="A22" sqref="A22"/>
      <selection pane="topRight" activeCell="H1" sqref="H1"/>
      <selection pane="bottomRight" activeCell="K87" sqref="K87"/>
    </sheetView>
  </sheetViews>
  <sheetFormatPr defaultColWidth="10.57421875" customHeight="1" defaultRowHeight="14.25"/>
  <cols>
    <col min="1" max="2" style="1780" width="25.140625" hidden="1" customWidth="1"/>
    <col min="3" max="3" style="1688" width="9.140625" hidden="1" customWidth="1"/>
    <col min="4" max="4" style="345" width="3.00390625" customWidth="1"/>
    <col min="5" max="5" style="1636" width="6.00390625" customWidth="1"/>
    <col min="6" max="6" style="1636" width="46.7109375" customWidth="1"/>
    <col min="7" max="7" style="1636" width="35.00390625" customWidth="1"/>
    <col min="8" max="8" style="1636" width="3.00390625" customWidth="1"/>
    <col min="9" max="10" style="1636" width="11.00390625" customWidth="1"/>
    <col min="11" max="12" style="1636" width="35.00390625" customWidth="1"/>
    <col min="13" max="13" style="1636" width="84.00390625" customWidth="1"/>
    <col min="14" max="14" style="1636" width="10.00390625" customWidth="1"/>
    <col min="15" max="16" style="1625" width="10.00390625" customWidth="1"/>
    <col min="17" max="33" style="1636" width="10.00390625" customWidth="1"/>
    <col min="34" max="34" style="1636" width="10.57421875" hidden="1"/>
  </cols>
  <sheetData>
    <row s="1636" customFormat="1" customHeight="1" ht="22.5" hidden="1">
      <c r="A1" s="1780"/>
      <c r="B1" s="1780"/>
      <c r="C1" s="370"/>
      <c r="D1" s="345"/>
      <c r="N1" s="1637">
        <f>_xlfn.IFERROR(MATCH("метод экономически обоснованных расходов (затрат)",OFFER_METHOD,0),0)</f>
        <v>0</v>
      </c>
      <c r="O1" s="1625"/>
      <c r="P1" s="1625"/>
      <c r="T1" s="832"/>
      <c r="AG1" s="256"/>
      <c r="AH1" s="1632" t="s">
        <v>14</v>
      </c>
    </row>
    <row s="1636" customFormat="1" customHeight="1" ht="18.75" hidden="1">
      <c r="A2" s="1781" t="s">
        <v>163</v>
      </c>
      <c r="B2" s="1781" t="s">
        <v>164</v>
      </c>
      <c r="C2" s="370"/>
      <c r="D2" s="345"/>
      <c r="E2" s="1032"/>
      <c r="F2" s="1032"/>
      <c r="G2" s="2428" t="str">
        <f>INDEX(PT_DIFFERENTIATION_NTAR,MATCH(B2,PT_DIFFERENTIATION_NTAR_ID,0))</f>
        <v/>
      </c>
      <c r="H2" s="1865"/>
      <c r="I2" s="1740"/>
      <c r="J2" s="1774"/>
      <c r="K2" s="1866"/>
      <c r="L2" s="1865" t="s">
        <v>323</v>
      </c>
      <c r="M2" s="1876"/>
      <c r="N2" s="335"/>
      <c r="O2" s="1625"/>
      <c r="P2" s="1625"/>
      <c r="AH2" s="1632">
        <v>0</v>
      </c>
    </row>
    <row s="1636" customFormat="1" customHeight="1" ht="18.75" hidden="1">
      <c r="A3" s="1781"/>
      <c r="B3" s="1781"/>
      <c r="C3" s="370" t="s">
        <v>1162</v>
      </c>
      <c r="D3" s="345"/>
      <c r="E3" s="1032"/>
      <c r="F3" s="1032"/>
      <c r="G3" s="2428"/>
      <c r="H3" s="1501"/>
      <c r="I3" s="652" t="s">
        <v>1163</v>
      </c>
      <c r="J3" s="572"/>
      <c r="K3" s="1501"/>
      <c r="L3" s="215"/>
      <c r="M3" s="1876"/>
      <c r="N3" s="335"/>
      <c r="O3" s="1625"/>
      <c r="P3" s="1625"/>
      <c r="AH3" s="1632">
        <v>0</v>
      </c>
    </row>
    <row s="1636" customFormat="1" customHeight="1" ht="14.25" hidden="1">
      <c r="A4" s="1780"/>
      <c r="B4" s="1780"/>
      <c r="C4" s="370"/>
      <c r="D4" s="345"/>
      <c r="N4" s="1637">
        <f>_xlfn.IFERROR(MATCH("метод экономически обоснованных расходов (затрат)",OFFER_METHOD,0),0)</f>
        <v>0</v>
      </c>
      <c r="O4" s="1625"/>
      <c r="P4" s="1625"/>
      <c r="T4" s="832"/>
      <c r="AG4" s="256"/>
      <c r="AH4" s="1632">
        <v>0</v>
      </c>
    </row>
    <row s="1636" customFormat="1" customHeight="1" ht="18.75" hidden="1">
      <c r="A5" s="1781" t="s">
        <v>163</v>
      </c>
      <c r="B5" s="1781" t="s">
        <v>164</v>
      </c>
      <c r="C5" s="370"/>
      <c r="D5" s="345"/>
      <c r="E5" s="1032"/>
      <c r="F5" s="1032"/>
      <c r="G5" s="2428" t="str">
        <f>INDEX(PT_DIFFERENTIATION_NTAR,MATCH(B5,PT_DIFFERENTIATION_NTAR_ID,0))</f>
        <v/>
      </c>
      <c r="H5" s="1865"/>
      <c r="I5" s="1740"/>
      <c r="J5" s="1774"/>
      <c r="K5" s="1779"/>
      <c r="L5" s="1865" t="s">
        <v>323</v>
      </c>
      <c r="M5" s="1876"/>
      <c r="N5" s="335"/>
      <c r="O5" s="1625"/>
      <c r="P5" s="1625"/>
      <c r="AH5" s="1632">
        <v>0</v>
      </c>
    </row>
    <row s="1636" customFormat="1" customHeight="1" ht="18.75" hidden="1">
      <c r="A6" s="1781"/>
      <c r="B6" s="1781"/>
      <c r="C6" s="370" t="s">
        <v>1164</v>
      </c>
      <c r="D6" s="345"/>
      <c r="E6" s="1032"/>
      <c r="F6" s="1032"/>
      <c r="G6" s="2428"/>
      <c r="H6" s="1501"/>
      <c r="I6" s="652" t="s">
        <v>1163</v>
      </c>
      <c r="J6" s="572"/>
      <c r="K6" s="1501"/>
      <c r="L6" s="215"/>
      <c r="M6" s="1876"/>
      <c r="N6" s="335"/>
      <c r="O6" s="1625"/>
      <c r="P6" s="1625"/>
      <c r="AH6" s="1632">
        <v>0</v>
      </c>
    </row>
    <row s="1636" customFormat="1" customHeight="1" ht="14.25" hidden="1">
      <c r="A7" s="1780"/>
      <c r="B7" s="1780"/>
      <c r="C7" s="370"/>
      <c r="D7" s="345"/>
      <c r="N7" s="1637">
        <f>_xlfn.IFERROR(MATCH("метод экономически обоснованных расходов (затрат)",OFFER_METHOD,0),0)</f>
        <v>0</v>
      </c>
      <c r="O7" s="1625"/>
      <c r="P7" s="1625"/>
      <c r="T7" s="832"/>
      <c r="AG7" s="256"/>
      <c r="AH7" s="1632">
        <v>0</v>
      </c>
    </row>
    <row s="1636" customFormat="1" customHeight="1" ht="56.25" hidden="1">
      <c r="A8" s="1781"/>
      <c r="B8" s="1781"/>
      <c r="C8" s="370"/>
      <c r="D8" s="345"/>
      <c r="E8" s="1032"/>
      <c r="F8" s="1032"/>
      <c r="G8" s="1032"/>
      <c r="H8" s="1772"/>
      <c r="I8" s="1740"/>
      <c r="J8" s="1774"/>
      <c r="K8" s="1866"/>
      <c r="L8" s="1772" t="s">
        <v>323</v>
      </c>
      <c r="M8" s="1876"/>
      <c r="N8" s="335"/>
      <c r="O8" s="1625"/>
      <c r="P8" s="1625"/>
      <c r="AH8" s="1632">
        <v>0</v>
      </c>
    </row>
    <row customHeight="1" ht="14.25" hidden="1">
      <c r="T9" s="398"/>
      <c r="AG9" s="256"/>
      <c r="AH9" s="375">
        <v>0</v>
      </c>
    </row>
    <row s="1636" customFormat="1" customHeight="1" ht="56.25" hidden="1">
      <c r="A10" s="1781"/>
      <c r="B10" s="1781"/>
      <c r="C10" s="370"/>
      <c r="D10" s="345"/>
      <c r="E10" s="1032"/>
      <c r="F10" s="1032"/>
      <c r="G10" s="1032"/>
      <c r="H10" s="1771"/>
      <c r="I10" s="1740"/>
      <c r="J10" s="1774"/>
      <c r="K10" s="1779"/>
      <c r="L10" s="1772" t="s">
        <v>323</v>
      </c>
      <c r="M10" s="1876"/>
      <c r="N10" s="335"/>
      <c r="O10" s="1625"/>
      <c r="P10" s="1625"/>
      <c r="AH10" s="1632">
        <v>0</v>
      </c>
    </row>
    <row customHeight="1" ht="14.25" hidden="1">
      <c r="AH11" s="375">
        <v>0</v>
      </c>
    </row>
    <row customHeight="1" ht="14.25" hidden="1">
      <c r="AH12" s="375">
        <v>0</v>
      </c>
    </row>
    <row customHeight="1" ht="6.3">
      <c r="D13" s="377"/>
      <c r="E13" s="364"/>
      <c r="F13" s="364"/>
      <c r="G13" s="364"/>
      <c r="H13" s="364"/>
      <c r="I13" s="364"/>
      <c r="J13" s="364"/>
      <c r="K13" s="364"/>
      <c r="L13" s="86"/>
      <c r="M13" s="86"/>
      <c r="AH13" s="375">
        <v>6</v>
      </c>
    </row>
    <row customHeight="1" ht="14.699999999999998">
      <c r="D14" s="377"/>
      <c r="E14" s="2466" t="str">
        <f>"Форма "&amp;IF(TEMPLATE_SPHERE="HEAT","18","12")&amp;". Информация о предложении "&amp;IF(TEMPLATE_SPHERE="HEAT","регулируемой организации","организации "&amp;TEMPLATE_SPHERE_RUS)&amp;" об установлении "&amp;IF(TEMPLATE_SPHERE="HEAT","цен (тарифов)","тарифов")&amp;" в сфере "&amp;TEMPLATE_SPHERE_RUS&amp;" на очередной"&amp;IF(TEMPLATE_SPHERE="HEAT"," расчетный","")&amp;" период регулирования"</f>
        <v>Форма 18. Информация о предложении регулируемой организации об установлении цен (тарифов) в сфере теплоснабжения на очередной расчетный период регулирования</v>
      </c>
      <c r="F14" s="2466"/>
      <c r="G14" s="2466"/>
      <c r="H14" s="2466"/>
      <c r="I14" s="2466"/>
      <c r="J14" s="2466"/>
      <c r="K14" s="2466"/>
      <c r="L14" s="2466"/>
      <c r="M14" s="221"/>
      <c r="AH14" s="375">
        <v>14</v>
      </c>
    </row>
    <row customHeight="1" ht="6.3">
      <c r="D15" s="377"/>
      <c r="E15" s="364"/>
      <c r="F15" s="390"/>
      <c r="G15" s="390"/>
      <c r="H15" s="390"/>
      <c r="I15" s="390"/>
      <c r="J15" s="390"/>
      <c r="K15" s="390"/>
      <c r="L15" s="323"/>
      <c r="M15" s="194"/>
      <c r="AH15" s="375">
        <v>6</v>
      </c>
    </row>
    <row customHeight="1" ht="24">
      <c r="D16" s="377"/>
      <c r="E16" s="364"/>
      <c r="F16" s="306" t="str">
        <f>"Дата подачи заявления об "&amp;IF(TITLE_DATE_PR_CHANGE="","утверждении","изменении")&amp;" тарифов"</f>
        <v>Дата подачи заявления об изменении тарифов</v>
      </c>
      <c r="G16" s="2265" t="str">
        <f>IF(TITLE_DATE_PR_CHANGE="",IF(TITLE_DATE_PR="","",TITLE_DATE_PR),TITLE_DATE_PR_CHANGE)</f>
        <v>46142</v>
      </c>
      <c r="H16" s="2265"/>
      <c r="I16" s="2265"/>
      <c r="J16" s="2265"/>
      <c r="K16" s="2265"/>
      <c r="L16" s="2265"/>
      <c r="M16" s="399"/>
      <c r="N16" s="327"/>
      <c r="AH16" s="375">
        <v>23</v>
      </c>
    </row>
    <row customHeight="1" ht="24">
      <c r="D17" s="377"/>
      <c r="E17" s="364"/>
      <c r="F17" s="306" t="str">
        <f>"Номер подачи заявления об "&amp;IF(TITLE_DATE_PR_CHANGE="","утверждении","изменении")&amp;" тарифов"</f>
        <v>Номер подачи заявления об изменении тарифов</v>
      </c>
      <c r="G17" s="2252" t="str">
        <f>IF(TITLE_NUMBER_PR_CHANGE="",IF(TITLE_NUMBER_PR="","",TITLE_NUMBER_PR),TITLE_NUMBER_PR_CHANGE)</f>
        <v>206Т</v>
      </c>
      <c r="H17" s="2252"/>
      <c r="I17" s="2252"/>
      <c r="J17" s="2252"/>
      <c r="K17" s="2252"/>
      <c r="L17" s="2252"/>
      <c r="M17" s="399"/>
      <c r="N17" s="327"/>
      <c r="AH17" s="375">
        <v>23</v>
      </c>
    </row>
    <row customHeight="1" ht="14.699999999999998">
      <c r="D18" s="377"/>
      <c r="E18" s="364"/>
      <c r="F18" s="390"/>
      <c r="G18" s="390"/>
      <c r="H18" s="390"/>
      <c r="I18" s="390"/>
      <c r="J18" s="390"/>
      <c r="K18" s="390"/>
      <c r="L18" s="753"/>
      <c r="M18" s="194"/>
      <c r="AH18" s="375">
        <v>14</v>
      </c>
    </row>
    <row customHeight="1" ht="22.049999999999997">
      <c r="D19" s="377"/>
      <c r="E19" s="2210" t="s">
        <v>317</v>
      </c>
      <c r="F19" s="2210"/>
      <c r="G19" s="2210"/>
      <c r="H19" s="2210"/>
      <c r="I19" s="2210"/>
      <c r="J19" s="2210"/>
      <c r="K19" s="2210"/>
      <c r="L19" s="2210"/>
      <c r="M19" s="2390" t="s">
        <v>318</v>
      </c>
      <c r="AH19" s="375">
        <v>21</v>
      </c>
    </row>
    <row customHeight="1" ht="22.049999999999997">
      <c r="D20" s="377"/>
      <c r="E20" s="2278" t="s">
        <v>89</v>
      </c>
      <c r="F20" s="2225" t="s">
        <v>130</v>
      </c>
      <c r="G20" s="2225" t="s">
        <v>131</v>
      </c>
      <c r="H20" s="2387" t="s">
        <v>1165</v>
      </c>
      <c r="I20" s="2388"/>
      <c r="J20" s="2434"/>
      <c r="K20" s="2225" t="s">
        <v>320</v>
      </c>
      <c r="L20" s="2225" t="s">
        <v>407</v>
      </c>
      <c r="M20" s="2390"/>
      <c r="AH20" s="375">
        <v>21</v>
      </c>
    </row>
    <row customHeight="1" ht="22.049999999999997">
      <c r="D21" s="377"/>
      <c r="E21" s="2280"/>
      <c r="F21" s="2226"/>
      <c r="G21" s="2226"/>
      <c r="H21" s="2219" t="s">
        <v>1166</v>
      </c>
      <c r="I21" s="2221"/>
      <c r="J21" s="109" t="s">
        <v>1167</v>
      </c>
      <c r="K21" s="2226"/>
      <c r="L21" s="2226"/>
      <c r="M21" s="2390"/>
      <c r="AH21" s="375">
        <v>21</v>
      </c>
    </row>
    <row customHeight="1" ht="12.75">
      <c r="D22" s="377"/>
      <c r="E22" s="282"/>
      <c r="F22" s="282"/>
      <c r="G22" s="282"/>
      <c r="H22" s="2468"/>
      <c r="I22" s="2468"/>
      <c r="J22" s="282"/>
      <c r="K22" s="282"/>
      <c r="L22" s="282"/>
      <c r="M22" s="282"/>
      <c r="AH22" s="375">
        <v>12</v>
      </c>
    </row>
    <row customHeight="1" ht="19.95">
      <c r="A23" s="1781"/>
      <c r="B23" s="1781"/>
      <c r="D23" s="377"/>
      <c r="E23" s="1867" t="s">
        <v>118</v>
      </c>
      <c r="F23" s="2469" t="str">
        <f>"Предлагаемый метод регулирования"&amp;IF(TEMPLATE_SPHERE="HEAT"," в сфере "&amp;TEMPLATE_SPHERE_RUS,"")</f>
        <v>Предлагаемый метод регулирования в сфере теплоснабжения</v>
      </c>
      <c r="G23" s="2470"/>
      <c r="H23" s="2462"/>
      <c r="I23" s="2462"/>
      <c r="J23" s="2462"/>
      <c r="K23" s="2470" t="s">
        <v>323</v>
      </c>
      <c r="L23" s="2462"/>
      <c r="M23" s="1770"/>
      <c r="N23" s="335"/>
      <c r="AH23" s="375">
        <v>19</v>
      </c>
    </row>
    <row customHeight="1" ht="60.75" hidden="1">
      <c r="A24" s="1781" t="s">
        <v>163</v>
      </c>
      <c r="B24" s="1781" t="s">
        <v>164</v>
      </c>
      <c r="D24" s="2467"/>
      <c r="E24" s="2205"/>
      <c r="F24" s="2471" t="str">
        <f>INDEX(PT_DIFFERENTIATION_VTAR,MATCH(A24,PT_DIFFERENTIATION_VTAR_ID,0))</f>
        <v>Тарифы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v>
      </c>
      <c r="G24" s="2428" t="str">
        <f>INDEX(PT_DIFFERENTIATION_NTAR,MATCH(B24,PT_DIFFERENTIATION_NTAR_ID,0))</f>
        <v/>
      </c>
      <c r="H24" s="1863"/>
      <c r="I24" s="1740"/>
      <c r="J24" s="1774"/>
      <c r="K24" s="1866"/>
      <c r="L24" s="1769" t="s">
        <v>323</v>
      </c>
      <c r="M24" s="2170" t="str">
        <f>"Значение в колонке «Вид тарифа» выбирается из перечня видов тарифов в сфере "&amp;TEMPLATE_SPHERE_RUS&amp;", предусмотренных законодательством в сфере "&amp;IF(TEMPLATE_SPHERE="HEAT","теплоснабжения","водоснабжения и водоотведения")&amp;".
"&amp;"Значение в колонке «Информация» выбирается из перечня:
- метод экономически обоснованных расходов (затрат);
- метод индексации установленных тарифов;
- метод обеспечения доходности инвестированного капитала;
- метод сравнения аналогов.
"&amp;"Даты начала и окончания срока действия тарифов указываются в виде «ДД.ММ.ГГГГ».
В случае дифференциации предлагаемых методов регулирования по видам тарифов и (или) по периодам действия тарифов информация по каждому из них указывается в отдельной строке."</f>
        <v>Значение в колонке «Вид тарифа» выбирается из перечня видов тарифов в сфере теплоснабжения, предусмотренных законодательством в сфере теплоснабжения.
Значение в колонке «Информация» выбирается из перечня:
- метод экономически обоснованных расходов (затрат);
- метод индексации установленных тарифов;
- метод обеспечения доходности инвестированного капитала;
- метод сравнения аналогов.
Даты начала и окончания срока действия тарифов указываются в виде «ДД.ММ.ГГГГ».
В случае дифференциации предлагаемых методов регулирования по видам тарифов и (или) по периодам действия тарифов информация по каждому из них указывается в отдельной строке.</v>
      </c>
      <c r="N24" s="335"/>
      <c r="AH24" s="375">
        <v>0</v>
      </c>
    </row>
    <row s="1636" customFormat="1" customHeight="1" ht="18.75" hidden="1">
      <c r="A25" s="1781"/>
      <c r="B25" s="1781"/>
      <c r="C25" s="370" t="s">
        <v>1162</v>
      </c>
      <c r="D25" s="2467"/>
      <c r="E25" s="2205"/>
      <c r="F25" s="2471"/>
      <c r="G25" s="2428"/>
      <c r="H25" s="1501"/>
      <c r="I25" s="652" t="s">
        <v>1163</v>
      </c>
      <c r="J25" s="572"/>
      <c r="K25" s="1501"/>
      <c r="L25" s="215"/>
      <c r="M25" s="2171"/>
      <c r="N25" s="335"/>
      <c r="O25" s="1625"/>
      <c r="P25" s="1625"/>
      <c r="AH25" s="1632">
        <v>0</v>
      </c>
    </row>
    <row customHeight="1" ht="0.75" hidden="1">
      <c r="A26" s="1781"/>
      <c r="B26" s="1781"/>
      <c r="C26" s="370" t="s">
        <v>1168</v>
      </c>
      <c r="D26" s="2467"/>
      <c r="E26" s="2205"/>
      <c r="F26" s="2384"/>
      <c r="G26" s="401"/>
      <c r="H26" s="1501"/>
      <c r="I26" s="396"/>
      <c r="J26" s="350"/>
      <c r="K26" s="1501"/>
      <c r="L26" s="202"/>
      <c r="M26" s="2171"/>
      <c r="N26" s="335"/>
      <c r="AH26" s="375">
        <v>0</v>
      </c>
    </row>
    <row s="1636" customFormat="1" customHeight="1" ht="45">
      <c r="A27" s="1781" t="s">
        <v>171</v>
      </c>
      <c r="B27" s="1781" t="s">
        <v>172</v>
      </c>
      <c r="C27" s="370"/>
      <c r="D27" s="2463"/>
      <c r="E27" s="2464"/>
      <c r="F27" s="2465" t="str">
        <f>INDEX(PT_DIFFERENTIATION_VTAR,MATCH(A27,PT_DIFFERENTIATION_VTAR_ID,0))</f>
        <v>Тарифы на тепловую энергию (мощность), поставляемую теплоснабжающими организациями потребителям, другим теплоснабжающим организациям</v>
      </c>
      <c r="G27" s="2428" t="str">
        <f>INDEX(PT_DIFFERENTIATION_NTAR,MATCH(B27,PT_DIFFERENTIATION_NTAR_ID,0))</f>
        <v>Тарифы на тепловую энергию (мощность) на коллекторах источников тепловой энергии</v>
      </c>
      <c r="H27" s="1863"/>
      <c r="I27" s="1740">
        <v>46388</v>
      </c>
      <c r="J27" s="1774">
        <v>46752</v>
      </c>
      <c r="K27" s="1866" t="s">
        <v>1169</v>
      </c>
      <c r="L27" s="1863" t="s">
        <v>323</v>
      </c>
      <c r="M27" s="2171"/>
      <c r="N27" s="335"/>
      <c r="O27" s="1625"/>
      <c r="P27" s="1625"/>
      <c r="AH27" s="1632">
        <v>0</v>
      </c>
    </row>
    <row s="1636" customFormat="1" customHeight="1" ht="18.75">
      <c r="A28" s="1781"/>
      <c r="B28" s="1781"/>
      <c r="C28" s="370" t="s">
        <v>1162</v>
      </c>
      <c r="D28" s="2463"/>
      <c r="E28" s="2464"/>
      <c r="F28" s="2465"/>
      <c r="G28" s="2428"/>
      <c r="H28" s="1501"/>
      <c r="I28" s="652" t="s">
        <v>1163</v>
      </c>
      <c r="J28" s="572"/>
      <c r="K28" s="1501"/>
      <c r="L28" s="215"/>
      <c r="M28" s="2171"/>
      <c r="N28" s="335"/>
      <c r="O28" s="1625"/>
      <c r="P28" s="1625"/>
      <c r="AH28" s="1632">
        <v>0</v>
      </c>
    </row>
    <row s="1636" customFormat="1" customHeight="1" ht="18.75">
      <c r="A29" s="1824" t="s">
        <v>171</v>
      </c>
      <c r="B29" s="1824" t="s">
        <v>180</v>
      </c>
      <c r="C29" s="1688"/>
      <c r="D29" s="345"/>
      <c r="E29" s="1032"/>
      <c r="F29" s="1032"/>
      <c r="G29" s="2428" t="str">
        <f>INDEX(PT_DIFFERENTIATION_NTAR,MATCH(B29,PT_DIFFERENTIATION_NTAR_ID,0))</f>
        <v>Тарифы на тепловую энергию (мощность), поставляемую потребителям</v>
      </c>
      <c r="H29" s="2272"/>
      <c r="I29" s="1740">
        <v>46388</v>
      </c>
      <c r="J29" s="1774">
        <v>46752</v>
      </c>
      <c r="K29" s="2306" t="s">
        <v>1169</v>
      </c>
      <c r="L29" s="2272" t="s">
        <v>323</v>
      </c>
      <c r="M29" s="2319"/>
      <c r="N29" s="619"/>
      <c r="O29" s="1625"/>
      <c r="P29" s="1625"/>
      <c r="Q29" s="1636"/>
      <c r="R29" s="1636"/>
      <c r="S29" s="1636"/>
      <c r="T29" s="1636"/>
      <c r="U29" s="1636"/>
      <c r="V29" s="1636"/>
      <c r="W29" s="1636"/>
      <c r="X29" s="1636"/>
      <c r="Y29" s="1636"/>
      <c r="Z29" s="1636"/>
      <c r="AA29" s="1636"/>
      <c r="AB29" s="1636"/>
      <c r="AC29" s="1636"/>
      <c r="AD29" s="1636"/>
      <c r="AE29" s="1636"/>
      <c r="AF29" s="1636"/>
      <c r="AG29" s="1636"/>
      <c r="AH29" s="1636">
        <v>0</v>
      </c>
    </row>
    <row s="1636" customFormat="1" customHeight="1" ht="18.75">
      <c r="A30" s="1824"/>
      <c r="B30" s="1824"/>
      <c r="C30" s="1688" t="s">
        <v>1162</v>
      </c>
      <c r="D30" s="345"/>
      <c r="E30" s="1032"/>
      <c r="F30" s="1032"/>
      <c r="G30" s="2428"/>
      <c r="H30" s="2870"/>
      <c r="I30" s="2871" t="s">
        <v>1163</v>
      </c>
      <c r="J30" s="2872"/>
      <c r="K30" s="2873"/>
      <c r="L30" s="2874"/>
      <c r="M30" s="2319"/>
      <c r="N30" s="619"/>
      <c r="O30" s="1625"/>
      <c r="P30" s="1625"/>
      <c r="Q30" s="1636"/>
      <c r="R30" s="1636"/>
      <c r="S30" s="1636"/>
      <c r="T30" s="1636"/>
      <c r="U30" s="1636"/>
      <c r="V30" s="1636"/>
      <c r="W30" s="1636"/>
      <c r="X30" s="1636"/>
      <c r="Y30" s="1636"/>
      <c r="Z30" s="1636"/>
      <c r="AA30" s="1636"/>
      <c r="AB30" s="1636"/>
      <c r="AC30" s="1636"/>
      <c r="AD30" s="1636"/>
      <c r="AE30" s="1636"/>
      <c r="AF30" s="1636"/>
      <c r="AG30" s="1636"/>
      <c r="AH30" s="1636">
        <v>0</v>
      </c>
    </row>
    <row s="1636" customFormat="1" customHeight="1" ht="0.75">
      <c r="A31" s="1781"/>
      <c r="B31" s="1781"/>
      <c r="C31" s="370" t="s">
        <v>1168</v>
      </c>
      <c r="D31" s="2463"/>
      <c r="E31" s="2205"/>
      <c r="F31" s="2384"/>
      <c r="G31" s="401"/>
      <c r="H31" s="1501"/>
      <c r="I31" s="652"/>
      <c r="J31" s="572"/>
      <c r="K31" s="1501"/>
      <c r="L31" s="215"/>
      <c r="M31" s="2171"/>
      <c r="N31" s="335"/>
      <c r="O31" s="1625"/>
      <c r="P31" s="1625"/>
      <c r="AH31" s="1632">
        <v>0</v>
      </c>
    </row>
    <row s="1636" customFormat="1" customHeight="1" ht="45" hidden="1">
      <c r="A32" s="1781" t="s">
        <v>186</v>
      </c>
      <c r="B32" s="1781" t="s">
        <v>187</v>
      </c>
      <c r="C32" s="370"/>
      <c r="D32" s="2463"/>
      <c r="E32" s="2205"/>
      <c r="F32" s="2384" t="str">
        <f>INDEX(PT_DIFFERENTIATION_VTAR,MATCH(A32,PT_DIFFERENTIATION_VTAR_ID,0))</f>
        <v>Тарифы на теплоноситель, поставляемый теплоснабжающими организациями потребителям, другим теплоснабжающим организациям</v>
      </c>
      <c r="G32" s="2428" t="str">
        <f>INDEX(PT_DIFFERENTIATION_NTAR,MATCH(B32,PT_DIFFERENTIATION_NTAR_ID,0))</f>
        <v/>
      </c>
      <c r="H32" s="1863"/>
      <c r="I32" s="1740"/>
      <c r="J32" s="1774"/>
      <c r="K32" s="1866"/>
      <c r="L32" s="1863" t="s">
        <v>323</v>
      </c>
      <c r="M32" s="2171"/>
      <c r="N32" s="335"/>
      <c r="O32" s="1625"/>
      <c r="P32" s="1625"/>
      <c r="AH32" s="1632">
        <v>0</v>
      </c>
    </row>
    <row s="1636" customFormat="1" customHeight="1" ht="18.75" hidden="1">
      <c r="A33" s="1781"/>
      <c r="B33" s="1781"/>
      <c r="C33" s="370" t="s">
        <v>1162</v>
      </c>
      <c r="D33" s="2463"/>
      <c r="E33" s="2205"/>
      <c r="F33" s="2384"/>
      <c r="G33" s="2428"/>
      <c r="H33" s="1501"/>
      <c r="I33" s="652" t="s">
        <v>1163</v>
      </c>
      <c r="J33" s="572"/>
      <c r="K33" s="1501"/>
      <c r="L33" s="215"/>
      <c r="M33" s="2171"/>
      <c r="N33" s="335"/>
      <c r="O33" s="1625"/>
      <c r="P33" s="1625"/>
      <c r="AH33" s="1632">
        <v>0</v>
      </c>
    </row>
    <row s="1636" customFormat="1" customHeight="1" ht="0.75" hidden="1">
      <c r="A34" s="1781"/>
      <c r="B34" s="1781"/>
      <c r="C34" s="370" t="s">
        <v>1168</v>
      </c>
      <c r="D34" s="2463"/>
      <c r="E34" s="2205"/>
      <c r="F34" s="2384"/>
      <c r="G34" s="401"/>
      <c r="H34" s="1501"/>
      <c r="I34" s="652"/>
      <c r="J34" s="572"/>
      <c r="K34" s="1501"/>
      <c r="L34" s="215"/>
      <c r="M34" s="2171"/>
      <c r="N34" s="335"/>
      <c r="O34" s="1625"/>
      <c r="P34" s="1625"/>
      <c r="AH34" s="1632">
        <v>0</v>
      </c>
    </row>
    <row s="1636" customFormat="1" customHeight="1" ht="45" hidden="1">
      <c r="A35" s="1781" t="s">
        <v>192</v>
      </c>
      <c r="B35" s="1781" t="s">
        <v>193</v>
      </c>
      <c r="C35" s="370"/>
      <c r="D35" s="2463"/>
      <c r="E35" s="2205"/>
      <c r="F35" s="2384" t="str">
        <f>INDEX(PT_DIFFERENTIATION_VTAR,MATCH(A35,PT_DIFFERENTIATION_VTAR_ID,0))</f>
        <v>Тарифы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v>
      </c>
      <c r="G35" s="2428" t="str">
        <f>INDEX(PT_DIFFERENTIATION_NTAR,MATCH(B35,PT_DIFFERENTIATION_NTAR_ID,0))</f>
        <v/>
      </c>
      <c r="H35" s="1863"/>
      <c r="I35" s="1740"/>
      <c r="J35" s="1774"/>
      <c r="K35" s="1866"/>
      <c r="L35" s="1863" t="s">
        <v>323</v>
      </c>
      <c r="M35" s="2171"/>
      <c r="N35" s="335"/>
      <c r="O35" s="1625"/>
      <c r="P35" s="1625"/>
      <c r="AH35" s="1632">
        <v>0</v>
      </c>
    </row>
    <row s="1636" customFormat="1" customHeight="1" ht="18.75" hidden="1">
      <c r="A36" s="1781"/>
      <c r="B36" s="1781"/>
      <c r="C36" s="370" t="s">
        <v>1162</v>
      </c>
      <c r="D36" s="2463"/>
      <c r="E36" s="2205"/>
      <c r="F36" s="2384"/>
      <c r="G36" s="2428"/>
      <c r="H36" s="1501"/>
      <c r="I36" s="652" t="s">
        <v>1163</v>
      </c>
      <c r="J36" s="572"/>
      <c r="K36" s="1501"/>
      <c r="L36" s="215"/>
      <c r="M36" s="2171"/>
      <c r="N36" s="335"/>
      <c r="O36" s="1625"/>
      <c r="P36" s="1625"/>
      <c r="AH36" s="1632">
        <v>0</v>
      </c>
    </row>
    <row s="1636" customFormat="1" customHeight="1" ht="0.75" hidden="1">
      <c r="A37" s="1781"/>
      <c r="B37" s="1781"/>
      <c r="C37" s="370" t="s">
        <v>1168</v>
      </c>
      <c r="D37" s="2463"/>
      <c r="E37" s="2205"/>
      <c r="F37" s="2384"/>
      <c r="G37" s="401"/>
      <c r="H37" s="1501"/>
      <c r="I37" s="652"/>
      <c r="J37" s="572"/>
      <c r="K37" s="1501"/>
      <c r="L37" s="215"/>
      <c r="M37" s="2171"/>
      <c r="N37" s="335"/>
      <c r="O37" s="1625"/>
      <c r="P37" s="1625"/>
      <c r="AH37" s="1632">
        <v>0</v>
      </c>
    </row>
    <row s="1636" customFormat="1" customHeight="1" ht="18.75" hidden="1">
      <c r="A38" s="1781" t="s">
        <v>198</v>
      </c>
      <c r="B38" s="1781" t="s">
        <v>199</v>
      </c>
      <c r="C38" s="370"/>
      <c r="D38" s="2463"/>
      <c r="E38" s="2205"/>
      <c r="F38" s="2384" t="str">
        <f>INDEX(PT_DIFFERENTIATION_VTAR,MATCH(A38,PT_DIFFERENTIATION_VTAR_ID,0))</f>
        <v>Тарифы на услуги по передаче тепловой энергии</v>
      </c>
      <c r="G38" s="2428" t="str">
        <f>INDEX(PT_DIFFERENTIATION_NTAR,MATCH(B38,PT_DIFFERENTIATION_NTAR_ID,0))</f>
        <v/>
      </c>
      <c r="H38" s="1863"/>
      <c r="I38" s="1740"/>
      <c r="J38" s="1774"/>
      <c r="K38" s="1866"/>
      <c r="L38" s="1863" t="s">
        <v>323</v>
      </c>
      <c r="M38" s="2171"/>
      <c r="N38" s="335"/>
      <c r="O38" s="1625"/>
      <c r="P38" s="1625"/>
      <c r="AH38" s="1632">
        <v>0</v>
      </c>
    </row>
    <row s="1636" customFormat="1" customHeight="1" ht="18.75" hidden="1">
      <c r="A39" s="1781"/>
      <c r="B39" s="1781"/>
      <c r="C39" s="370" t="s">
        <v>1162</v>
      </c>
      <c r="D39" s="2463"/>
      <c r="E39" s="2205"/>
      <c r="F39" s="2384"/>
      <c r="G39" s="2428"/>
      <c r="H39" s="1501"/>
      <c r="I39" s="652" t="s">
        <v>1163</v>
      </c>
      <c r="J39" s="572"/>
      <c r="K39" s="1501"/>
      <c r="L39" s="215"/>
      <c r="M39" s="2171"/>
      <c r="N39" s="335"/>
      <c r="O39" s="1625"/>
      <c r="P39" s="1625"/>
      <c r="AH39" s="1632">
        <v>0</v>
      </c>
    </row>
    <row s="1636" customFormat="1" customHeight="1" ht="0.75" hidden="1">
      <c r="A40" s="1781"/>
      <c r="B40" s="1781"/>
      <c r="C40" s="370" t="s">
        <v>1168</v>
      </c>
      <c r="D40" s="2463"/>
      <c r="E40" s="2205"/>
      <c r="F40" s="2384"/>
      <c r="G40" s="401"/>
      <c r="H40" s="1501"/>
      <c r="I40" s="652"/>
      <c r="J40" s="572"/>
      <c r="K40" s="1501"/>
      <c r="L40" s="215"/>
      <c r="M40" s="2171"/>
      <c r="N40" s="335"/>
      <c r="O40" s="1625"/>
      <c r="P40" s="1625"/>
      <c r="AH40" s="1632">
        <v>0</v>
      </c>
    </row>
    <row s="1636" customFormat="1" customHeight="1" ht="18.75" hidden="1">
      <c r="A41" s="1781" t="s">
        <v>204</v>
      </c>
      <c r="B41" s="1781" t="s">
        <v>205</v>
      </c>
      <c r="C41" s="370"/>
      <c r="D41" s="2463"/>
      <c r="E41" s="2205"/>
      <c r="F41" s="2384" t="str">
        <f>INDEX(PT_DIFFERENTIATION_VTAR,MATCH(A41,PT_DIFFERENTIATION_VTAR_ID,0))</f>
        <v>Тарифы на услуги по передаче теплоносителя</v>
      </c>
      <c r="G41" s="2428" t="str">
        <f>INDEX(PT_DIFFERENTIATION_NTAR,MATCH(B41,PT_DIFFERENTIATION_NTAR_ID,0))</f>
        <v/>
      </c>
      <c r="H41" s="1863"/>
      <c r="I41" s="1740"/>
      <c r="J41" s="1774"/>
      <c r="K41" s="1866"/>
      <c r="L41" s="1863" t="s">
        <v>323</v>
      </c>
      <c r="M41" s="2171"/>
      <c r="N41" s="335"/>
      <c r="O41" s="1625"/>
      <c r="P41" s="1625"/>
      <c r="AH41" s="1632">
        <v>0</v>
      </c>
    </row>
    <row s="1636" customFormat="1" customHeight="1" ht="18.75" hidden="1">
      <c r="A42" s="1781"/>
      <c r="B42" s="1781"/>
      <c r="C42" s="370" t="s">
        <v>1162</v>
      </c>
      <c r="D42" s="2463"/>
      <c r="E42" s="2205"/>
      <c r="F42" s="2384"/>
      <c r="G42" s="2428"/>
      <c r="H42" s="1501"/>
      <c r="I42" s="652" t="s">
        <v>1163</v>
      </c>
      <c r="J42" s="572"/>
      <c r="K42" s="1501"/>
      <c r="L42" s="215"/>
      <c r="M42" s="2171"/>
      <c r="N42" s="335"/>
      <c r="O42" s="1625"/>
      <c r="P42" s="1625"/>
      <c r="AH42" s="1632">
        <v>0</v>
      </c>
    </row>
    <row s="1636" customFormat="1" customHeight="1" ht="0.75" hidden="1">
      <c r="A43" s="1781"/>
      <c r="B43" s="1781"/>
      <c r="C43" s="370" t="s">
        <v>1168</v>
      </c>
      <c r="D43" s="2463"/>
      <c r="E43" s="2205"/>
      <c r="F43" s="2384"/>
      <c r="G43" s="401"/>
      <c r="H43" s="1501"/>
      <c r="I43" s="652"/>
      <c r="J43" s="572"/>
      <c r="K43" s="1501"/>
      <c r="L43" s="215"/>
      <c r="M43" s="2171"/>
      <c r="N43" s="335"/>
      <c r="O43" s="1625"/>
      <c r="P43" s="1625"/>
      <c r="AH43" s="1632">
        <v>0</v>
      </c>
    </row>
    <row s="1636" customFormat="1" customHeight="1" ht="18.75" hidden="1">
      <c r="A44" s="1781" t="s">
        <v>210</v>
      </c>
      <c r="B44" s="1781" t="s">
        <v>211</v>
      </c>
      <c r="C44" s="370"/>
      <c r="D44" s="2463"/>
      <c r="E44" s="2205"/>
      <c r="F44" s="2384" t="str">
        <f>INDEX(PT_DIFFERENTIATION_VTAR,MATCH(A44,PT_DIFFERENTIATION_VTAR_ID,0))</f>
        <v>Плата за услуги по поддержанию резервной тепловой мощности при отсутствии потребления тепловой энергии</v>
      </c>
      <c r="G44" s="2428" t="str">
        <f>INDEX(PT_DIFFERENTIATION_NTAR,MATCH(B44,PT_DIFFERENTIATION_NTAR_ID,0))</f>
        <v/>
      </c>
      <c r="H44" s="1863"/>
      <c r="I44" s="1740"/>
      <c r="J44" s="1774"/>
      <c r="K44" s="1866"/>
      <c r="L44" s="1863" t="s">
        <v>323</v>
      </c>
      <c r="M44" s="2171"/>
      <c r="N44" s="335"/>
      <c r="O44" s="1625"/>
      <c r="P44" s="1625"/>
      <c r="AH44" s="1632">
        <v>0</v>
      </c>
    </row>
    <row s="1636" customFormat="1" customHeight="1" ht="18.75" hidden="1">
      <c r="A45" s="1781"/>
      <c r="B45" s="1781"/>
      <c r="C45" s="370" t="s">
        <v>1162</v>
      </c>
      <c r="D45" s="2463"/>
      <c r="E45" s="2205"/>
      <c r="F45" s="2384"/>
      <c r="G45" s="2428"/>
      <c r="H45" s="1501"/>
      <c r="I45" s="652" t="s">
        <v>1163</v>
      </c>
      <c r="J45" s="572"/>
      <c r="K45" s="1501"/>
      <c r="L45" s="215"/>
      <c r="M45" s="2171"/>
      <c r="N45" s="335"/>
      <c r="O45" s="1625"/>
      <c r="P45" s="1625"/>
      <c r="AH45" s="1632">
        <v>0</v>
      </c>
    </row>
    <row s="1636" customFormat="1" customHeight="1" ht="0.75" hidden="1">
      <c r="A46" s="1781"/>
      <c r="B46" s="1781"/>
      <c r="C46" s="370" t="s">
        <v>1168</v>
      </c>
      <c r="D46" s="2463"/>
      <c r="E46" s="2205"/>
      <c r="F46" s="2384"/>
      <c r="G46" s="401"/>
      <c r="H46" s="1501"/>
      <c r="I46" s="652"/>
      <c r="J46" s="572"/>
      <c r="K46" s="1501"/>
      <c r="L46" s="215"/>
      <c r="M46" s="2171"/>
      <c r="N46" s="335"/>
      <c r="O46" s="1625"/>
      <c r="P46" s="1625"/>
      <c r="AH46" s="1632">
        <v>0</v>
      </c>
    </row>
    <row s="1636" customFormat="1" customHeight="1" ht="18.75" hidden="1">
      <c r="A47" s="1781" t="s">
        <v>216</v>
      </c>
      <c r="B47" s="1781" t="s">
        <v>217</v>
      </c>
      <c r="C47" s="370"/>
      <c r="D47" s="2463"/>
      <c r="E47" s="2205"/>
      <c r="F47" s="2384" t="str">
        <f>INDEX(PT_DIFFERENTIATION_VTAR,MATCH(A47,PT_DIFFERENTIATION_VTAR_ID,0))</f>
        <v>Плата за подключение (технологическое присоединение) к системе теплоснабжения</v>
      </c>
      <c r="G47" s="2428" t="str">
        <f>INDEX(PT_DIFFERENTIATION_NTAR,MATCH(B47,PT_DIFFERENTIATION_NTAR_ID,0))</f>
        <v/>
      </c>
      <c r="H47" s="1863"/>
      <c r="I47" s="1740"/>
      <c r="J47" s="1774"/>
      <c r="K47" s="1866"/>
      <c r="L47" s="1863" t="s">
        <v>323</v>
      </c>
      <c r="M47" s="2171"/>
      <c r="N47" s="335"/>
      <c r="O47" s="1625"/>
      <c r="P47" s="1625"/>
      <c r="AH47" s="1632">
        <v>0</v>
      </c>
    </row>
    <row s="1636" customFormat="1" customHeight="1" ht="18.75" hidden="1">
      <c r="A48" s="1781"/>
      <c r="B48" s="1781"/>
      <c r="C48" s="370" t="s">
        <v>1162</v>
      </c>
      <c r="D48" s="2463"/>
      <c r="E48" s="2205"/>
      <c r="F48" s="2384"/>
      <c r="G48" s="2428"/>
      <c r="H48" s="1501"/>
      <c r="I48" s="652" t="s">
        <v>1163</v>
      </c>
      <c r="J48" s="572"/>
      <c r="K48" s="1501"/>
      <c r="L48" s="215"/>
      <c r="M48" s="2171"/>
      <c r="N48" s="335"/>
      <c r="O48" s="1625"/>
      <c r="P48" s="1625"/>
      <c r="AH48" s="1632">
        <v>0</v>
      </c>
    </row>
    <row s="1636" customFormat="1" customHeight="1" ht="0.75" hidden="1">
      <c r="A49" s="1781"/>
      <c r="B49" s="1781"/>
      <c r="C49" s="370" t="s">
        <v>1168</v>
      </c>
      <c r="D49" s="2463"/>
      <c r="E49" s="2205"/>
      <c r="F49" s="2384"/>
      <c r="G49" s="401"/>
      <c r="H49" s="1501"/>
      <c r="I49" s="652"/>
      <c r="J49" s="572"/>
      <c r="K49" s="1501"/>
      <c r="L49" s="215"/>
      <c r="M49" s="2171"/>
      <c r="N49" s="335"/>
      <c r="O49" s="1625"/>
      <c r="P49" s="1625"/>
      <c r="AH49" s="1632">
        <v>0</v>
      </c>
    </row>
    <row s="1636" customFormat="1" customHeight="1" ht="18.75" hidden="1">
      <c r="A50" s="1781" t="s">
        <v>222</v>
      </c>
      <c r="B50" s="1781" t="s">
        <v>223</v>
      </c>
      <c r="C50" s="370"/>
      <c r="D50" s="2463"/>
      <c r="E50" s="2205"/>
      <c r="F50" s="2384" t="str">
        <f>INDEX(PT_DIFFERENTIATION_VTAR,MATCH(A50,PT_DIFFERENTIATION_VTAR_ID,0))</f>
        <v>Плата за подключение (технологическое присоединение) к системе теплоснабжения (индивидуальная)</v>
      </c>
      <c r="G50" s="2428" t="str">
        <f>INDEX(PT_DIFFERENTIATION_NTAR,MATCH(B50,PT_DIFFERENTIATION_NTAR_ID,0))</f>
        <v/>
      </c>
      <c r="H50" s="1990"/>
      <c r="I50" s="1740"/>
      <c r="J50" s="1774"/>
      <c r="K50" s="1866"/>
      <c r="L50" s="1990" t="s">
        <v>323</v>
      </c>
      <c r="M50" s="2171"/>
      <c r="N50" s="335"/>
      <c r="O50" s="1625"/>
      <c r="P50" s="1625"/>
      <c r="AH50" s="1632">
        <v>0</v>
      </c>
    </row>
    <row s="1636" customFormat="1" customHeight="1" ht="18.75" hidden="1">
      <c r="A51" s="1781"/>
      <c r="B51" s="1781"/>
      <c r="C51" s="370" t="s">
        <v>1162</v>
      </c>
      <c r="D51" s="2463"/>
      <c r="E51" s="2205"/>
      <c r="F51" s="2384"/>
      <c r="G51" s="2428"/>
      <c r="H51" s="1501"/>
      <c r="I51" s="652" t="s">
        <v>1163</v>
      </c>
      <c r="J51" s="572"/>
      <c r="K51" s="1501"/>
      <c r="L51" s="215"/>
      <c r="M51" s="2171"/>
      <c r="N51" s="335"/>
      <c r="O51" s="1625"/>
      <c r="P51" s="1625"/>
      <c r="AH51" s="1632">
        <v>0</v>
      </c>
    </row>
    <row s="1636" customFormat="1" customHeight="1" ht="0.75" hidden="1">
      <c r="A52" s="1781"/>
      <c r="B52" s="1781"/>
      <c r="C52" s="370" t="s">
        <v>1168</v>
      </c>
      <c r="D52" s="2463"/>
      <c r="E52" s="2205"/>
      <c r="F52" s="2384"/>
      <c r="G52" s="401"/>
      <c r="H52" s="1501"/>
      <c r="I52" s="652"/>
      <c r="J52" s="572"/>
      <c r="K52" s="1501"/>
      <c r="L52" s="215"/>
      <c r="M52" s="2171"/>
      <c r="N52" s="335"/>
      <c r="O52" s="1625"/>
      <c r="P52" s="1625"/>
      <c r="AH52" s="1632">
        <v>0</v>
      </c>
    </row>
    <row s="1636" customFormat="1" customHeight="1" ht="18.75" hidden="1">
      <c r="A53" s="1781" t="s">
        <v>242</v>
      </c>
      <c r="B53" s="1781" t="s">
        <v>243</v>
      </c>
      <c r="C53" s="370"/>
      <c r="D53" s="2463"/>
      <c r="E53" s="2205"/>
      <c r="F53" s="2384" t="str">
        <f>INDEX(PT_DIFFERENTIATION_VTAR,MATCH(A53,PT_DIFFERENTIATION_VTAR_ID,0))</f>
        <v>Тариф на питьевую воду (питьевое водоснабжение)</v>
      </c>
      <c r="G53" s="2428" t="str">
        <f>INDEX(PT_DIFFERENTIATION_NTAR,MATCH(B53,PT_DIFFERENTIATION_NTAR_ID,0))</f>
        <v/>
      </c>
      <c r="H53" s="1863"/>
      <c r="I53" s="1740"/>
      <c r="J53" s="1774"/>
      <c r="K53" s="1866"/>
      <c r="L53" s="1863" t="s">
        <v>323</v>
      </c>
      <c r="M53" s="2171"/>
      <c r="N53" s="335"/>
      <c r="O53" s="1625"/>
      <c r="P53" s="1625"/>
      <c r="AH53" s="1632">
        <v>0</v>
      </c>
    </row>
    <row s="1636" customFormat="1" customHeight="1" ht="18.75" hidden="1">
      <c r="A54" s="1781"/>
      <c r="B54" s="1781"/>
      <c r="C54" s="370" t="s">
        <v>1162</v>
      </c>
      <c r="D54" s="2463"/>
      <c r="E54" s="2205"/>
      <c r="F54" s="2384"/>
      <c r="G54" s="2428"/>
      <c r="H54" s="1501"/>
      <c r="I54" s="652" t="s">
        <v>1163</v>
      </c>
      <c r="J54" s="572"/>
      <c r="K54" s="1501"/>
      <c r="L54" s="215"/>
      <c r="M54" s="2171"/>
      <c r="N54" s="335"/>
      <c r="O54" s="1625"/>
      <c r="P54" s="1625"/>
      <c r="AH54" s="1632">
        <v>0</v>
      </c>
    </row>
    <row s="1636" customFormat="1" customHeight="1" ht="0.75" hidden="1">
      <c r="A55" s="1781"/>
      <c r="B55" s="1781"/>
      <c r="C55" s="370" t="s">
        <v>1168</v>
      </c>
      <c r="D55" s="2463"/>
      <c r="E55" s="2205"/>
      <c r="F55" s="2384"/>
      <c r="G55" s="401"/>
      <c r="H55" s="1501"/>
      <c r="I55" s="652"/>
      <c r="J55" s="572"/>
      <c r="K55" s="1501"/>
      <c r="L55" s="215"/>
      <c r="M55" s="2171"/>
      <c r="N55" s="335"/>
      <c r="O55" s="1625"/>
      <c r="P55" s="1625"/>
      <c r="AH55" s="1632">
        <v>0</v>
      </c>
    </row>
    <row s="1636" customFormat="1" customHeight="1" ht="18.75" hidden="1">
      <c r="A56" s="1781" t="s">
        <v>247</v>
      </c>
      <c r="B56" s="1781" t="s">
        <v>248</v>
      </c>
      <c r="C56" s="370"/>
      <c r="D56" s="2463"/>
      <c r="E56" s="2205"/>
      <c r="F56" s="2384" t="str">
        <f>INDEX(PT_DIFFERENTIATION_VTAR,MATCH(A56,PT_DIFFERENTIATION_VTAR_ID,0))</f>
        <v>Тариф на техническую воду</v>
      </c>
      <c r="G56" s="2428" t="str">
        <f>INDEX(PT_DIFFERENTIATION_NTAR,MATCH(B56,PT_DIFFERENTIATION_NTAR_ID,0))</f>
        <v/>
      </c>
      <c r="H56" s="1863"/>
      <c r="I56" s="1740"/>
      <c r="J56" s="1774"/>
      <c r="K56" s="1866"/>
      <c r="L56" s="1863" t="s">
        <v>323</v>
      </c>
      <c r="M56" s="2171"/>
      <c r="N56" s="335"/>
      <c r="O56" s="1625"/>
      <c r="P56" s="1625"/>
      <c r="AH56" s="1632">
        <v>0</v>
      </c>
    </row>
    <row s="1636" customFormat="1" customHeight="1" ht="18.75" hidden="1">
      <c r="A57" s="1781"/>
      <c r="B57" s="1781"/>
      <c r="C57" s="370" t="s">
        <v>1162</v>
      </c>
      <c r="D57" s="2463"/>
      <c r="E57" s="2205"/>
      <c r="F57" s="2384"/>
      <c r="G57" s="2428"/>
      <c r="H57" s="1501"/>
      <c r="I57" s="652" t="s">
        <v>1163</v>
      </c>
      <c r="J57" s="572"/>
      <c r="K57" s="1501"/>
      <c r="L57" s="215"/>
      <c r="M57" s="2171"/>
      <c r="N57" s="335"/>
      <c r="O57" s="1625"/>
      <c r="P57" s="1625"/>
      <c r="AH57" s="1632">
        <v>0</v>
      </c>
    </row>
    <row s="1636" customFormat="1" customHeight="1" ht="0.75" hidden="1">
      <c r="A58" s="1781"/>
      <c r="B58" s="1781"/>
      <c r="C58" s="370" t="s">
        <v>1168</v>
      </c>
      <c r="D58" s="2463"/>
      <c r="E58" s="2205"/>
      <c r="F58" s="2384"/>
      <c r="G58" s="401"/>
      <c r="H58" s="1501"/>
      <c r="I58" s="652"/>
      <c r="J58" s="572"/>
      <c r="K58" s="1501"/>
      <c r="L58" s="215"/>
      <c r="M58" s="2171"/>
      <c r="N58" s="335"/>
      <c r="O58" s="1625"/>
      <c r="P58" s="1625"/>
      <c r="AH58" s="1632">
        <v>0</v>
      </c>
    </row>
    <row s="1636" customFormat="1" customHeight="1" ht="18.75" hidden="1">
      <c r="A59" s="1781" t="s">
        <v>252</v>
      </c>
      <c r="B59" s="1781" t="s">
        <v>253</v>
      </c>
      <c r="C59" s="370"/>
      <c r="D59" s="2463"/>
      <c r="E59" s="2205"/>
      <c r="F59" s="2384" t="str">
        <f>INDEX(PT_DIFFERENTIATION_VTAR,MATCH(A59,PT_DIFFERENTIATION_VTAR_ID,0))</f>
        <v>Тариф на транспортировку воды</v>
      </c>
      <c r="G59" s="2428" t="str">
        <f>INDEX(PT_DIFFERENTIATION_NTAR,MATCH(B59,PT_DIFFERENTIATION_NTAR_ID,0))</f>
        <v/>
      </c>
      <c r="H59" s="1863"/>
      <c r="I59" s="1740"/>
      <c r="J59" s="1774"/>
      <c r="K59" s="1866"/>
      <c r="L59" s="1863" t="s">
        <v>323</v>
      </c>
      <c r="M59" s="2171"/>
      <c r="N59" s="335"/>
      <c r="O59" s="1625"/>
      <c r="P59" s="1625"/>
      <c r="AH59" s="1632">
        <v>0</v>
      </c>
    </row>
    <row s="1636" customFormat="1" customHeight="1" ht="18.75" hidden="1">
      <c r="A60" s="1781"/>
      <c r="B60" s="1781"/>
      <c r="C60" s="370" t="s">
        <v>1162</v>
      </c>
      <c r="D60" s="2463"/>
      <c r="E60" s="2205"/>
      <c r="F60" s="2384"/>
      <c r="G60" s="2428"/>
      <c r="H60" s="1501"/>
      <c r="I60" s="652" t="s">
        <v>1163</v>
      </c>
      <c r="J60" s="572"/>
      <c r="K60" s="1501"/>
      <c r="L60" s="215"/>
      <c r="M60" s="2171"/>
      <c r="N60" s="335"/>
      <c r="O60" s="1625"/>
      <c r="P60" s="1625"/>
      <c r="AH60" s="1632">
        <v>0</v>
      </c>
    </row>
    <row s="1636" customFormat="1" customHeight="1" ht="0.75" hidden="1">
      <c r="A61" s="1781"/>
      <c r="B61" s="1781"/>
      <c r="C61" s="370" t="s">
        <v>1168</v>
      </c>
      <c r="D61" s="2463"/>
      <c r="E61" s="2205"/>
      <c r="F61" s="2384"/>
      <c r="G61" s="401"/>
      <c r="H61" s="1501"/>
      <c r="I61" s="652"/>
      <c r="J61" s="572"/>
      <c r="K61" s="1501"/>
      <c r="L61" s="215"/>
      <c r="M61" s="2171"/>
      <c r="N61" s="335"/>
      <c r="O61" s="1625"/>
      <c r="P61" s="1625"/>
      <c r="AH61" s="1632">
        <v>0</v>
      </c>
    </row>
    <row s="1636" customFormat="1" customHeight="1" ht="18.75" hidden="1">
      <c r="A62" s="1781" t="s">
        <v>257</v>
      </c>
      <c r="B62" s="1781" t="s">
        <v>258</v>
      </c>
      <c r="C62" s="370"/>
      <c r="D62" s="2463"/>
      <c r="E62" s="2205"/>
      <c r="F62" s="2384" t="str">
        <f>INDEX(PT_DIFFERENTIATION_VTAR,MATCH(A62,PT_DIFFERENTIATION_VTAR_ID,0))</f>
        <v>Тариф на подвоз воды</v>
      </c>
      <c r="G62" s="2428" t="str">
        <f>INDEX(PT_DIFFERENTIATION_NTAR,MATCH(B62,PT_DIFFERENTIATION_NTAR_ID,0))</f>
        <v/>
      </c>
      <c r="H62" s="1863"/>
      <c r="I62" s="1740"/>
      <c r="J62" s="1774"/>
      <c r="K62" s="1866"/>
      <c r="L62" s="1863" t="s">
        <v>323</v>
      </c>
      <c r="M62" s="2171"/>
      <c r="N62" s="335"/>
      <c r="O62" s="1625"/>
      <c r="P62" s="1625"/>
      <c r="AH62" s="1632">
        <v>0</v>
      </c>
    </row>
    <row s="1636" customFormat="1" customHeight="1" ht="18.75" hidden="1">
      <c r="A63" s="1781"/>
      <c r="B63" s="1781"/>
      <c r="C63" s="370" t="s">
        <v>1162</v>
      </c>
      <c r="D63" s="2463"/>
      <c r="E63" s="2205"/>
      <c r="F63" s="2384"/>
      <c r="G63" s="2428"/>
      <c r="H63" s="1501"/>
      <c r="I63" s="652" t="s">
        <v>1163</v>
      </c>
      <c r="J63" s="572"/>
      <c r="K63" s="1501"/>
      <c r="L63" s="215"/>
      <c r="M63" s="2171"/>
      <c r="N63" s="335"/>
      <c r="O63" s="1625"/>
      <c r="P63" s="1625"/>
      <c r="AH63" s="1632">
        <v>0</v>
      </c>
    </row>
    <row s="1636" customFormat="1" customHeight="1" ht="0.75" hidden="1">
      <c r="A64" s="1781"/>
      <c r="B64" s="1781"/>
      <c r="C64" s="370" t="s">
        <v>1168</v>
      </c>
      <c r="D64" s="2463"/>
      <c r="E64" s="2205"/>
      <c r="F64" s="2384"/>
      <c r="G64" s="401"/>
      <c r="H64" s="1501"/>
      <c r="I64" s="652"/>
      <c r="J64" s="572"/>
      <c r="K64" s="1501"/>
      <c r="L64" s="215"/>
      <c r="M64" s="2171"/>
      <c r="N64" s="335"/>
      <c r="O64" s="1625"/>
      <c r="P64" s="1625"/>
      <c r="AH64" s="1632">
        <v>0</v>
      </c>
    </row>
    <row s="1636" customFormat="1" customHeight="1" ht="18.75" hidden="1">
      <c r="A65" s="1781" t="s">
        <v>262</v>
      </c>
      <c r="B65" s="1781" t="s">
        <v>263</v>
      </c>
      <c r="C65" s="370"/>
      <c r="D65" s="2463"/>
      <c r="E65" s="2205"/>
      <c r="F65" s="2384" t="str">
        <f>INDEX(PT_DIFFERENTIATION_VTAR,MATCH(A65,PT_DIFFERENTIATION_VTAR_ID,0))</f>
        <v>Тариф на подключение (технологическое присоединение) к централизованной системе холодного водоснабжения</v>
      </c>
      <c r="G65" s="2428" t="str">
        <f>INDEX(PT_DIFFERENTIATION_NTAR,MATCH(B65,PT_DIFFERENTIATION_NTAR_ID,0))</f>
        <v/>
      </c>
      <c r="H65" s="1863"/>
      <c r="I65" s="1740"/>
      <c r="J65" s="1774"/>
      <c r="K65" s="1866"/>
      <c r="L65" s="1863" t="s">
        <v>323</v>
      </c>
      <c r="M65" s="2171"/>
      <c r="N65" s="335"/>
      <c r="O65" s="1625"/>
      <c r="P65" s="1625"/>
      <c r="AH65" s="1632">
        <v>0</v>
      </c>
    </row>
    <row s="1636" customFormat="1" customHeight="1" ht="18.75" hidden="1">
      <c r="A66" s="1781"/>
      <c r="B66" s="1781"/>
      <c r="C66" s="370" t="s">
        <v>1162</v>
      </c>
      <c r="D66" s="2463"/>
      <c r="E66" s="2205"/>
      <c r="F66" s="2384"/>
      <c r="G66" s="2428"/>
      <c r="H66" s="1501"/>
      <c r="I66" s="652" t="s">
        <v>1163</v>
      </c>
      <c r="J66" s="572"/>
      <c r="K66" s="1501"/>
      <c r="L66" s="215"/>
      <c r="M66" s="2171"/>
      <c r="N66" s="335"/>
      <c r="O66" s="1625"/>
      <c r="P66" s="1625"/>
      <c r="AH66" s="1632">
        <v>0</v>
      </c>
    </row>
    <row s="1636" customFormat="1" customHeight="1" ht="0.75" hidden="1">
      <c r="A67" s="1781"/>
      <c r="B67" s="1781"/>
      <c r="C67" s="370" t="s">
        <v>1168</v>
      </c>
      <c r="D67" s="2463"/>
      <c r="E67" s="2205"/>
      <c r="F67" s="2384"/>
      <c r="G67" s="401"/>
      <c r="H67" s="1501"/>
      <c r="I67" s="652"/>
      <c r="J67" s="572"/>
      <c r="K67" s="1501"/>
      <c r="L67" s="215"/>
      <c r="M67" s="2171"/>
      <c r="N67" s="335"/>
      <c r="O67" s="1625"/>
      <c r="P67" s="1625"/>
      <c r="AH67" s="1632">
        <v>0</v>
      </c>
    </row>
    <row s="1636" customFormat="1" customHeight="1" ht="18.75" hidden="1">
      <c r="A68" s="1781" t="s">
        <v>267</v>
      </c>
      <c r="B68" s="1781" t="s">
        <v>268</v>
      </c>
      <c r="C68" s="370"/>
      <c r="D68" s="2463"/>
      <c r="E68" s="2205"/>
      <c r="F68" s="2384" t="str">
        <f>INDEX(PT_DIFFERENTIATION_VTAR,MATCH(A68,PT_DIFFERENTIATION_VTAR_ID,0))</f>
        <v>Тариф на горячую воду (горячее водоснабжение)</v>
      </c>
      <c r="G68" s="2428" t="str">
        <f>INDEX(PT_DIFFERENTIATION_NTAR,MATCH(B68,PT_DIFFERENTIATION_NTAR_ID,0))</f>
        <v/>
      </c>
      <c r="H68" s="1863"/>
      <c r="I68" s="1740"/>
      <c r="J68" s="1774"/>
      <c r="K68" s="1866"/>
      <c r="L68" s="1863" t="s">
        <v>323</v>
      </c>
      <c r="M68" s="2171"/>
      <c r="N68" s="335"/>
      <c r="O68" s="1625"/>
      <c r="P68" s="1625"/>
      <c r="AH68" s="1632">
        <v>0</v>
      </c>
    </row>
    <row s="1636" customFormat="1" customHeight="1" ht="18.75" hidden="1">
      <c r="A69" s="1781"/>
      <c r="B69" s="1781"/>
      <c r="C69" s="370" t="s">
        <v>1162</v>
      </c>
      <c r="D69" s="2463"/>
      <c r="E69" s="2205"/>
      <c r="F69" s="2384"/>
      <c r="G69" s="2428"/>
      <c r="H69" s="1501"/>
      <c r="I69" s="652" t="s">
        <v>1163</v>
      </c>
      <c r="J69" s="572"/>
      <c r="K69" s="1501"/>
      <c r="L69" s="215"/>
      <c r="M69" s="2171"/>
      <c r="N69" s="335"/>
      <c r="O69" s="1625"/>
      <c r="P69" s="1625"/>
      <c r="AH69" s="1632">
        <v>0</v>
      </c>
    </row>
    <row s="1636" customFormat="1" customHeight="1" ht="0.75" hidden="1">
      <c r="A70" s="1781"/>
      <c r="B70" s="1781"/>
      <c r="C70" s="370" t="s">
        <v>1168</v>
      </c>
      <c r="D70" s="2463"/>
      <c r="E70" s="2205"/>
      <c r="F70" s="2384"/>
      <c r="G70" s="401"/>
      <c r="H70" s="1501"/>
      <c r="I70" s="652"/>
      <c r="J70" s="572"/>
      <c r="K70" s="1501"/>
      <c r="L70" s="215"/>
      <c r="M70" s="2171"/>
      <c r="N70" s="335"/>
      <c r="O70" s="1625"/>
      <c r="P70" s="1625"/>
      <c r="AH70" s="1632">
        <v>0</v>
      </c>
    </row>
    <row s="1636" customFormat="1" customHeight="1" ht="18.75" hidden="1">
      <c r="A71" s="1781" t="s">
        <v>272</v>
      </c>
      <c r="B71" s="1781" t="s">
        <v>273</v>
      </c>
      <c r="C71" s="370"/>
      <c r="D71" s="2463"/>
      <c r="E71" s="2205"/>
      <c r="F71" s="2384" t="str">
        <f>INDEX(PT_DIFFERENTIATION_VTAR,MATCH(A71,PT_DIFFERENTIATION_VTAR_ID,0))</f>
        <v>Тариф на транспортировку горячей воды</v>
      </c>
      <c r="G71" s="2428" t="str">
        <f>INDEX(PT_DIFFERENTIATION_NTAR,MATCH(B71,PT_DIFFERENTIATION_NTAR_ID,0))</f>
        <v/>
      </c>
      <c r="H71" s="1863"/>
      <c r="I71" s="1740"/>
      <c r="J71" s="1774"/>
      <c r="K71" s="1866"/>
      <c r="L71" s="1863" t="s">
        <v>323</v>
      </c>
      <c r="M71" s="2171"/>
      <c r="N71" s="335"/>
      <c r="O71" s="1625"/>
      <c r="P71" s="1625"/>
      <c r="AH71" s="1632">
        <v>0</v>
      </c>
    </row>
    <row s="1636" customFormat="1" customHeight="1" ht="18.75" hidden="1">
      <c r="A72" s="1781"/>
      <c r="B72" s="1781"/>
      <c r="C72" s="370" t="s">
        <v>1162</v>
      </c>
      <c r="D72" s="2463"/>
      <c r="E72" s="2205"/>
      <c r="F72" s="2384"/>
      <c r="G72" s="2428"/>
      <c r="H72" s="1501"/>
      <c r="I72" s="652" t="s">
        <v>1163</v>
      </c>
      <c r="J72" s="572"/>
      <c r="K72" s="1501"/>
      <c r="L72" s="215"/>
      <c r="M72" s="2171"/>
      <c r="N72" s="335"/>
      <c r="O72" s="1625"/>
      <c r="P72" s="1625"/>
      <c r="AH72" s="1632">
        <v>0</v>
      </c>
    </row>
    <row s="1636" customFormat="1" customHeight="1" ht="0.75" hidden="1">
      <c r="A73" s="1781"/>
      <c r="B73" s="1781"/>
      <c r="C73" s="370" t="s">
        <v>1168</v>
      </c>
      <c r="D73" s="2463"/>
      <c r="E73" s="2205"/>
      <c r="F73" s="2384"/>
      <c r="G73" s="401"/>
      <c r="H73" s="1501"/>
      <c r="I73" s="652"/>
      <c r="J73" s="572"/>
      <c r="K73" s="1501"/>
      <c r="L73" s="215"/>
      <c r="M73" s="2171"/>
      <c r="N73" s="335"/>
      <c r="O73" s="1625"/>
      <c r="P73" s="1625"/>
      <c r="AH73" s="1632">
        <v>0</v>
      </c>
    </row>
    <row s="1636" customFormat="1" customHeight="1" ht="18.75" hidden="1">
      <c r="A74" s="1781" t="s">
        <v>277</v>
      </c>
      <c r="B74" s="1781" t="s">
        <v>278</v>
      </c>
      <c r="C74" s="370"/>
      <c r="D74" s="2463"/>
      <c r="E74" s="2205"/>
      <c r="F74" s="2384" t="str">
        <f>INDEX(PT_DIFFERENTIATION_VTAR,MATCH(A74,PT_DIFFERENTIATION_VTAR_ID,0))</f>
        <v>Тариф на подключение (технологическое присоединение) к централизованной системе горячего водоснабжения</v>
      </c>
      <c r="G74" s="2428" t="str">
        <f>INDEX(PT_DIFFERENTIATION_NTAR,MATCH(B74,PT_DIFFERENTIATION_NTAR_ID,0))</f>
        <v/>
      </c>
      <c r="H74" s="1863"/>
      <c r="I74" s="1740"/>
      <c r="J74" s="1774"/>
      <c r="K74" s="1866"/>
      <c r="L74" s="1863" t="s">
        <v>323</v>
      </c>
      <c r="M74" s="2171"/>
      <c r="N74" s="335"/>
      <c r="O74" s="1625"/>
      <c r="P74" s="1625"/>
      <c r="AH74" s="1632">
        <v>0</v>
      </c>
    </row>
    <row s="1636" customFormat="1" customHeight="1" ht="18.75" hidden="1">
      <c r="A75" s="1781"/>
      <c r="B75" s="1781"/>
      <c r="C75" s="370" t="s">
        <v>1162</v>
      </c>
      <c r="D75" s="2463"/>
      <c r="E75" s="2205"/>
      <c r="F75" s="2384"/>
      <c r="G75" s="2428"/>
      <c r="H75" s="1501"/>
      <c r="I75" s="652" t="s">
        <v>1163</v>
      </c>
      <c r="J75" s="572"/>
      <c r="K75" s="1501"/>
      <c r="L75" s="215"/>
      <c r="M75" s="2171"/>
      <c r="N75" s="335"/>
      <c r="O75" s="1625"/>
      <c r="P75" s="1625"/>
      <c r="AH75" s="1632">
        <v>0</v>
      </c>
    </row>
    <row s="1636" customFormat="1" customHeight="1" ht="0.75" hidden="1">
      <c r="A76" s="1781"/>
      <c r="B76" s="1781"/>
      <c r="C76" s="370" t="s">
        <v>1168</v>
      </c>
      <c r="D76" s="2463"/>
      <c r="E76" s="2205"/>
      <c r="F76" s="2384"/>
      <c r="G76" s="401"/>
      <c r="H76" s="1501"/>
      <c r="I76" s="652"/>
      <c r="J76" s="572"/>
      <c r="K76" s="1501"/>
      <c r="L76" s="215"/>
      <c r="M76" s="2171"/>
      <c r="N76" s="335"/>
      <c r="O76" s="1625"/>
      <c r="P76" s="1625"/>
      <c r="AH76" s="1632">
        <v>0</v>
      </c>
    </row>
    <row s="1636" customFormat="1" customHeight="1" ht="18.75" hidden="1">
      <c r="A77" s="1781" t="s">
        <v>282</v>
      </c>
      <c r="B77" s="1781" t="s">
        <v>283</v>
      </c>
      <c r="C77" s="370"/>
      <c r="D77" s="2463"/>
      <c r="E77" s="2205"/>
      <c r="F77" s="2384" t="str">
        <f>INDEX(PT_DIFFERENTIATION_VTAR,MATCH(A77,PT_DIFFERENTIATION_VTAR_ID,0))</f>
        <v>Тариф на водоотведение</v>
      </c>
      <c r="G77" s="2428" t="str">
        <f>INDEX(PT_DIFFERENTIATION_NTAR,MATCH(B77,PT_DIFFERENTIATION_NTAR_ID,0))</f>
        <v/>
      </c>
      <c r="H77" s="1863"/>
      <c r="I77" s="1740"/>
      <c r="J77" s="1774"/>
      <c r="K77" s="1866"/>
      <c r="L77" s="1863" t="s">
        <v>323</v>
      </c>
      <c r="M77" s="2171"/>
      <c r="N77" s="335"/>
      <c r="O77" s="1625"/>
      <c r="P77" s="1625"/>
      <c r="AH77" s="1632">
        <v>0</v>
      </c>
    </row>
    <row s="1636" customFormat="1" customHeight="1" ht="18.75" hidden="1">
      <c r="A78" s="1781"/>
      <c r="B78" s="1781"/>
      <c r="C78" s="370" t="s">
        <v>1162</v>
      </c>
      <c r="D78" s="2463"/>
      <c r="E78" s="2205"/>
      <c r="F78" s="2384"/>
      <c r="G78" s="2428"/>
      <c r="H78" s="1501"/>
      <c r="I78" s="652" t="s">
        <v>1163</v>
      </c>
      <c r="J78" s="572"/>
      <c r="K78" s="1501"/>
      <c r="L78" s="215"/>
      <c r="M78" s="2171"/>
      <c r="N78" s="335"/>
      <c r="O78" s="1625"/>
      <c r="P78" s="1625"/>
      <c r="AH78" s="1632">
        <v>0</v>
      </c>
    </row>
    <row s="1636" customFormat="1" customHeight="1" ht="0.75" hidden="1">
      <c r="A79" s="1781"/>
      <c r="B79" s="1781"/>
      <c r="C79" s="370" t="s">
        <v>1168</v>
      </c>
      <c r="D79" s="2463"/>
      <c r="E79" s="2205"/>
      <c r="F79" s="2384"/>
      <c r="G79" s="401"/>
      <c r="H79" s="1501"/>
      <c r="I79" s="652"/>
      <c r="J79" s="572"/>
      <c r="K79" s="1501"/>
      <c r="L79" s="215"/>
      <c r="M79" s="2171"/>
      <c r="N79" s="335"/>
      <c r="O79" s="1625"/>
      <c r="P79" s="1625"/>
      <c r="AH79" s="1632">
        <v>0</v>
      </c>
    </row>
    <row s="1636" customFormat="1" customHeight="1" ht="18.75" hidden="1">
      <c r="A80" s="1781" t="s">
        <v>287</v>
      </c>
      <c r="B80" s="1781" t="s">
        <v>288</v>
      </c>
      <c r="C80" s="370"/>
      <c r="D80" s="2463"/>
      <c r="E80" s="2205"/>
      <c r="F80" s="2384" t="str">
        <f>INDEX(PT_DIFFERENTIATION_VTAR,MATCH(A80,PT_DIFFERENTIATION_VTAR_ID,0))</f>
        <v>Тариф на транспортировку сточных вод</v>
      </c>
      <c r="G80" s="2428" t="str">
        <f>INDEX(PT_DIFFERENTIATION_NTAR,MATCH(B80,PT_DIFFERENTIATION_NTAR_ID,0))</f>
        <v/>
      </c>
      <c r="H80" s="1863"/>
      <c r="I80" s="1740"/>
      <c r="J80" s="1774"/>
      <c r="K80" s="1866"/>
      <c r="L80" s="1863" t="s">
        <v>323</v>
      </c>
      <c r="M80" s="2171"/>
      <c r="N80" s="335"/>
      <c r="O80" s="1625"/>
      <c r="P80" s="1625"/>
      <c r="AH80" s="1632">
        <v>0</v>
      </c>
    </row>
    <row s="1636" customFormat="1" customHeight="1" ht="18.75" hidden="1">
      <c r="A81" s="1781"/>
      <c r="B81" s="1781"/>
      <c r="C81" s="370" t="s">
        <v>1162</v>
      </c>
      <c r="D81" s="2463"/>
      <c r="E81" s="2205"/>
      <c r="F81" s="2384"/>
      <c r="G81" s="2428"/>
      <c r="H81" s="1501"/>
      <c r="I81" s="652" t="s">
        <v>1163</v>
      </c>
      <c r="J81" s="572"/>
      <c r="K81" s="1501"/>
      <c r="L81" s="215"/>
      <c r="M81" s="2171"/>
      <c r="N81" s="335"/>
      <c r="O81" s="1625"/>
      <c r="P81" s="1625"/>
      <c r="AH81" s="1632">
        <v>0</v>
      </c>
    </row>
    <row s="1636" customFormat="1" customHeight="1" ht="0.75" hidden="1">
      <c r="A82" s="1781"/>
      <c r="B82" s="1781"/>
      <c r="C82" s="370" t="s">
        <v>1168</v>
      </c>
      <c r="D82" s="2463"/>
      <c r="E82" s="2205"/>
      <c r="F82" s="2384"/>
      <c r="G82" s="401"/>
      <c r="H82" s="1501"/>
      <c r="I82" s="652"/>
      <c r="J82" s="572"/>
      <c r="K82" s="1501"/>
      <c r="L82" s="215"/>
      <c r="M82" s="2171"/>
      <c r="N82" s="335"/>
      <c r="O82" s="1625"/>
      <c r="P82" s="1625"/>
      <c r="AH82" s="1632">
        <v>0</v>
      </c>
    </row>
    <row s="1636" customFormat="1" customHeight="1" ht="18.75" hidden="1">
      <c r="A83" s="1781" t="s">
        <v>292</v>
      </c>
      <c r="B83" s="1781" t="s">
        <v>293</v>
      </c>
      <c r="C83" s="370"/>
      <c r="D83" s="2463"/>
      <c r="E83" s="2205"/>
      <c r="F83" s="2384" t="str">
        <f>INDEX(PT_DIFFERENTIATION_VTAR,MATCH(A83,PT_DIFFERENTIATION_VTAR_ID,0))</f>
        <v>Тариф на подключение (технологическое присоединение) к централизованной системе водоотведения</v>
      </c>
      <c r="G83" s="2428" t="str">
        <f>INDEX(PT_DIFFERENTIATION_NTAR,MATCH(B83,PT_DIFFERENTIATION_NTAR_ID,0))</f>
        <v/>
      </c>
      <c r="H83" s="1863"/>
      <c r="I83" s="1740"/>
      <c r="J83" s="1774"/>
      <c r="K83" s="1866"/>
      <c r="L83" s="1863" t="s">
        <v>323</v>
      </c>
      <c r="M83" s="2171"/>
      <c r="N83" s="335"/>
      <c r="O83" s="1625"/>
      <c r="P83" s="1625"/>
      <c r="AH83" s="1632">
        <v>0</v>
      </c>
    </row>
    <row s="1636" customFormat="1" customHeight="1" ht="18.75" hidden="1">
      <c r="A84" s="1781"/>
      <c r="B84" s="1781"/>
      <c r="C84" s="370" t="s">
        <v>1162</v>
      </c>
      <c r="D84" s="2463"/>
      <c r="E84" s="2205"/>
      <c r="F84" s="2384"/>
      <c r="G84" s="2428"/>
      <c r="H84" s="1501"/>
      <c r="I84" s="652" t="s">
        <v>1163</v>
      </c>
      <c r="J84" s="572"/>
      <c r="K84" s="1501"/>
      <c r="L84" s="215"/>
      <c r="M84" s="2171"/>
      <c r="N84" s="335"/>
      <c r="O84" s="1625"/>
      <c r="P84" s="1625"/>
      <c r="AH84" s="1632">
        <v>0</v>
      </c>
    </row>
    <row s="1636" customFormat="1" customHeight="1" ht="1.05">
      <c r="A85" s="1781"/>
      <c r="B85" s="1781"/>
      <c r="C85" s="370" t="s">
        <v>1168</v>
      </c>
      <c r="D85" s="2463"/>
      <c r="E85" s="2205"/>
      <c r="F85" s="2384"/>
      <c r="G85" s="401"/>
      <c r="H85" s="1501"/>
      <c r="I85" s="652"/>
      <c r="J85" s="572"/>
      <c r="K85" s="1501"/>
      <c r="L85" s="215"/>
      <c r="M85" s="2171"/>
      <c r="N85" s="335"/>
      <c r="O85" s="1625"/>
      <c r="P85" s="1625"/>
      <c r="AH85" s="1632">
        <v>1</v>
      </c>
    </row>
    <row customHeight="1" ht="19.95">
      <c r="A86" s="1781"/>
      <c r="B86" s="1781"/>
      <c r="D86" s="377"/>
      <c r="E86" s="148" t="s">
        <v>103</v>
      </c>
      <c r="F86" s="2461" t="str">
        <f>"Долгосрочные параметры регулирования (в случае если их установление предусмотрено выбранным методом регулирования тарифов в сфере "&amp;TEMPLATE_SPHERE_RUS&amp;")"</f>
        <v>Долгосрочные параметры регулирования (в случае если их установление предусмотрено выбранным методом регулирования тарифов в сфере теплоснабжения)</v>
      </c>
      <c r="G86" s="2461"/>
      <c r="H86" s="2461"/>
      <c r="I86" s="2461"/>
      <c r="J86" s="2461"/>
      <c r="K86" s="2461"/>
      <c r="L86" s="2461"/>
      <c r="M86" s="298"/>
      <c r="N86" s="335"/>
      <c r="AH86" s="375">
        <v>19</v>
      </c>
    </row>
    <row customHeight="1" ht="36">
      <c r="A87" s="1781"/>
      <c r="B87" s="1781"/>
      <c r="D87" s="377"/>
      <c r="E87" s="400"/>
      <c r="F87" s="199" t="s">
        <v>323</v>
      </c>
      <c r="G87" s="199" t="s">
        <v>323</v>
      </c>
      <c r="H87" s="2219" t="s">
        <v>323</v>
      </c>
      <c r="I87" s="2221"/>
      <c r="J87" s="199" t="s">
        <v>323</v>
      </c>
      <c r="K87" s="199" t="s">
        <v>323</v>
      </c>
      <c r="L87" s="2875" t="s">
        <v>1170</v>
      </c>
      <c r="M87" s="346" t="s">
        <v>1171</v>
      </c>
      <c r="N87" s="335"/>
      <c r="AH87" s="375">
        <v>34</v>
      </c>
    </row>
    <row customHeight="1" ht="19.95">
      <c r="A88" s="1781"/>
      <c r="B88" s="1781"/>
      <c r="D88" s="377"/>
      <c r="E88" s="148" t="s">
        <v>91</v>
      </c>
      <c r="F88" s="2461" t="s">
        <v>1172</v>
      </c>
      <c r="G88" s="2461"/>
      <c r="H88" s="2461"/>
      <c r="I88" s="2461"/>
      <c r="J88" s="2461"/>
      <c r="K88" s="2461"/>
      <c r="L88" s="2461"/>
      <c r="M88" s="298"/>
      <c r="N88" s="335"/>
      <c r="AH88" s="375">
        <v>19</v>
      </c>
    </row>
    <row s="1636" customFormat="1" customHeight="1" ht="60.75" hidden="1">
      <c r="A89" s="1781" t="s">
        <v>163</v>
      </c>
      <c r="B89" s="1781" t="s">
        <v>164</v>
      </c>
      <c r="C89" s="370"/>
      <c r="D89" s="2463"/>
      <c r="E89" s="2205"/>
      <c r="F89" s="2384" t="str">
        <f>INDEX(PT_DIFFERENTIATION_VTAR,MATCH(A89,PT_DIFFERENTIATION_VTAR_ID,0))</f>
        <v>Тарифы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v>
      </c>
      <c r="G89" s="2428" t="str">
        <f>INDEX(PT_DIFFERENTIATION_NTAR,MATCH(B89,PT_DIFFERENTIATION_NTAR_ID,0))</f>
        <v/>
      </c>
      <c r="H89" s="1863"/>
      <c r="I89" s="1740"/>
      <c r="J89" s="1774"/>
      <c r="K89" s="1779"/>
      <c r="L89" s="1863" t="s">
        <v>323</v>
      </c>
      <c r="M89" s="2170" t="str">
        <f>"Значение в колонке «Вид тарифа» выбирается из перечня видов тарифов в сфере "&amp;TEMPLATE_SPHERE_RUS&amp;", предусмотренных законодательством в сфере "&amp;IF(TEMPLATE_SPHERE="HEAT","теплоснабжения","водоснабжения и водоотведения")&amp;".
Даты начала и окончания срока действия тарифов указываются в виде «ДД.ММ.ГГГГ».
"&amp;"Величина необходимой валовой выручки указывается в колонке «Информация» в тыс. руб.В случае дифференциации необходимой валовой выручки по видам тарифов и (или) по срокам действия тарифов информация указывается в отдельных строках."</f>
        <v>Значение в колонке «Вид тарифа» выбирается из перечня видов тарифов в сфере теплоснабжения, предусмотренных законодательством в сфере теплоснабжения.
Даты начала и окончания срока действия тарифов указываются в виде «ДД.ММ.ГГГГ».
Величина необходимой валовой выручки указывается в колонке «Информация» в тыс. руб.В случае дифференциации необходимой валовой выручки по видам тарифов и (или) по срокам действия тарифов информация указывается в отдельных строках.</v>
      </c>
      <c r="N89" s="335"/>
      <c r="O89" s="1625"/>
      <c r="P89" s="1625"/>
      <c r="AH89" s="1632">
        <v>0</v>
      </c>
    </row>
    <row s="1636" customFormat="1" customHeight="1" ht="18.75" hidden="1">
      <c r="A90" s="1781"/>
      <c r="B90" s="1781"/>
      <c r="C90" s="370" t="s">
        <v>1164</v>
      </c>
      <c r="D90" s="2463"/>
      <c r="E90" s="2205"/>
      <c r="F90" s="2384"/>
      <c r="G90" s="2428"/>
      <c r="H90" s="1501"/>
      <c r="I90" s="652" t="s">
        <v>1163</v>
      </c>
      <c r="J90" s="572"/>
      <c r="K90" s="1501"/>
      <c r="L90" s="215"/>
      <c r="M90" s="2171"/>
      <c r="N90" s="335"/>
      <c r="O90" s="1625"/>
      <c r="P90" s="1625"/>
      <c r="AH90" s="1632">
        <v>0</v>
      </c>
    </row>
    <row s="1636" customFormat="1" customHeight="1" ht="0.75" hidden="1">
      <c r="A91" s="1781"/>
      <c r="B91" s="1781"/>
      <c r="C91" s="370" t="s">
        <v>1173</v>
      </c>
      <c r="D91" s="2463"/>
      <c r="E91" s="2205"/>
      <c r="F91" s="2384"/>
      <c r="G91" s="401"/>
      <c r="H91" s="1501"/>
      <c r="I91" s="652"/>
      <c r="J91" s="572"/>
      <c r="K91" s="1501"/>
      <c r="L91" s="215"/>
      <c r="M91" s="2171"/>
      <c r="N91" s="335"/>
      <c r="O91" s="1625"/>
      <c r="P91" s="1625"/>
      <c r="AH91" s="1632">
        <v>0</v>
      </c>
    </row>
    <row s="1636" customFormat="1" customHeight="1" ht="45">
      <c r="A92" s="1781" t="s">
        <v>171</v>
      </c>
      <c r="B92" s="1781" t="s">
        <v>172</v>
      </c>
      <c r="C92" s="370"/>
      <c r="D92" s="2463"/>
      <c r="E92" s="2205"/>
      <c r="F92" s="2384" t="str">
        <f>INDEX(PT_DIFFERENTIATION_VTAR,MATCH(A92,PT_DIFFERENTIATION_VTAR_ID,0))</f>
        <v>Тарифы на тепловую энергию (мощность), поставляемую теплоснабжающими организациями потребителям, другим теплоснабжающим организациям</v>
      </c>
      <c r="G92" s="2428" t="str">
        <f>INDEX(PT_DIFFERENTIATION_NTAR,MATCH(B92,PT_DIFFERENTIATION_NTAR_ID,0))</f>
        <v>Тарифы на тепловую энергию (мощность) на коллекторах источников тепловой энергии</v>
      </c>
      <c r="H92" s="1863"/>
      <c r="I92" s="1740">
        <v>46388</v>
      </c>
      <c r="J92" s="1774">
        <v>46752</v>
      </c>
      <c r="K92" s="1779">
        <v>4575.10609396775</v>
      </c>
      <c r="L92" s="1863" t="s">
        <v>323</v>
      </c>
      <c r="M92" s="2172"/>
      <c r="N92" s="335"/>
      <c r="O92" s="1625"/>
      <c r="P92" s="1625"/>
      <c r="AH92" s="1632">
        <v>0</v>
      </c>
    </row>
    <row s="1636" customFormat="1" customHeight="1" ht="18.75">
      <c r="A93" s="1781"/>
      <c r="B93" s="1781"/>
      <c r="C93" s="370" t="s">
        <v>1164</v>
      </c>
      <c r="D93" s="2463"/>
      <c r="E93" s="2205"/>
      <c r="F93" s="2384"/>
      <c r="G93" s="2428"/>
      <c r="H93" s="1501"/>
      <c r="I93" s="652" t="s">
        <v>1163</v>
      </c>
      <c r="J93" s="572"/>
      <c r="K93" s="1501"/>
      <c r="L93" s="215"/>
      <c r="M93" s="1862"/>
      <c r="N93" s="335"/>
      <c r="O93" s="1625"/>
      <c r="P93" s="1625"/>
      <c r="AH93" s="1632">
        <v>0</v>
      </c>
    </row>
    <row s="1636" customFormat="1" customHeight="1" ht="18.75">
      <c r="A94" s="1824" t="s">
        <v>171</v>
      </c>
      <c r="B94" s="1824" t="s">
        <v>180</v>
      </c>
      <c r="C94" s="1688"/>
      <c r="D94" s="345"/>
      <c r="E94" s="1032"/>
      <c r="F94" s="1032"/>
      <c r="G94" s="2428" t="str">
        <f>INDEX(PT_DIFFERENTIATION_NTAR,MATCH(B94,PT_DIFFERENTIATION_NTAR_ID,0))</f>
        <v>Тарифы на тепловую энергию (мощность), поставляемую потребителям</v>
      </c>
      <c r="H94" s="2272"/>
      <c r="I94" s="1740">
        <v>46388</v>
      </c>
      <c r="J94" s="1774">
        <v>46752</v>
      </c>
      <c r="K94" s="1779">
        <v>9580817.29082537</v>
      </c>
      <c r="L94" s="2272" t="s">
        <v>323</v>
      </c>
      <c r="M94" s="2319"/>
      <c r="N94" s="619"/>
      <c r="O94" s="1625"/>
      <c r="P94" s="1625"/>
      <c r="Q94" s="1636"/>
      <c r="R94" s="1636"/>
      <c r="S94" s="1636"/>
      <c r="T94" s="1636"/>
      <c r="U94" s="1636"/>
      <c r="V94" s="1636"/>
      <c r="W94" s="1636"/>
      <c r="X94" s="1636"/>
      <c r="Y94" s="1636"/>
      <c r="Z94" s="1636"/>
      <c r="AA94" s="1636"/>
      <c r="AB94" s="1636"/>
      <c r="AC94" s="1636"/>
      <c r="AD94" s="1636"/>
      <c r="AE94" s="1636"/>
      <c r="AF94" s="1636"/>
      <c r="AG94" s="1636"/>
      <c r="AH94" s="1636">
        <v>0</v>
      </c>
    </row>
    <row s="1636" customFormat="1" customHeight="1" ht="18.75">
      <c r="A95" s="1824"/>
      <c r="B95" s="1824"/>
      <c r="C95" s="1688" t="s">
        <v>1164</v>
      </c>
      <c r="D95" s="345"/>
      <c r="E95" s="1032"/>
      <c r="F95" s="1032"/>
      <c r="G95" s="2428"/>
      <c r="H95" s="2876"/>
      <c r="I95" s="2877" t="s">
        <v>1163</v>
      </c>
      <c r="J95" s="2878"/>
      <c r="K95" s="2879"/>
      <c r="L95" s="2880"/>
      <c r="M95" s="2319"/>
      <c r="N95" s="619"/>
      <c r="O95" s="1625"/>
      <c r="P95" s="1625"/>
      <c r="Q95" s="1636"/>
      <c r="R95" s="1636"/>
      <c r="S95" s="1636"/>
      <c r="T95" s="1636"/>
      <c r="U95" s="1636"/>
      <c r="V95" s="1636"/>
      <c r="W95" s="1636"/>
      <c r="X95" s="1636"/>
      <c r="Y95" s="1636"/>
      <c r="Z95" s="1636"/>
      <c r="AA95" s="1636"/>
      <c r="AB95" s="1636"/>
      <c r="AC95" s="1636"/>
      <c r="AD95" s="1636"/>
      <c r="AE95" s="1636"/>
      <c r="AF95" s="1636"/>
      <c r="AG95" s="1636"/>
      <c r="AH95" s="1636">
        <v>0</v>
      </c>
    </row>
    <row s="1636" customFormat="1" customHeight="1" ht="0.75">
      <c r="A96" s="1781"/>
      <c r="B96" s="1781"/>
      <c r="C96" s="370" t="s">
        <v>1173</v>
      </c>
      <c r="D96" s="2463"/>
      <c r="E96" s="2205"/>
      <c r="F96" s="2384"/>
      <c r="G96" s="401"/>
      <c r="H96" s="1501"/>
      <c r="I96" s="652"/>
      <c r="J96" s="572"/>
      <c r="K96" s="1501"/>
      <c r="L96" s="215"/>
      <c r="M96" s="342"/>
      <c r="N96" s="335"/>
      <c r="O96" s="1625"/>
      <c r="P96" s="1625"/>
      <c r="AH96" s="1632">
        <v>0</v>
      </c>
    </row>
    <row s="1636" customFormat="1" customHeight="1" ht="45" hidden="1">
      <c r="A97" s="1781" t="s">
        <v>186</v>
      </c>
      <c r="B97" s="1781" t="s">
        <v>187</v>
      </c>
      <c r="C97" s="370"/>
      <c r="D97" s="2463"/>
      <c r="E97" s="2205"/>
      <c r="F97" s="2384" t="str">
        <f>INDEX(PT_DIFFERENTIATION_VTAR,MATCH(A97,PT_DIFFERENTIATION_VTAR_ID,0))</f>
        <v>Тарифы на теплоноситель, поставляемый теплоснабжающими организациями потребителям, другим теплоснабжающим организациям</v>
      </c>
      <c r="G97" s="2428" t="str">
        <f>INDEX(PT_DIFFERENTIATION_NTAR,MATCH(B97,PT_DIFFERENTIATION_NTAR_ID,0))</f>
        <v/>
      </c>
      <c r="H97" s="1863"/>
      <c r="I97" s="1740"/>
      <c r="J97" s="1774"/>
      <c r="K97" s="1779"/>
      <c r="L97" s="1863" t="s">
        <v>323</v>
      </c>
      <c r="M97" s="342"/>
      <c r="N97" s="335"/>
      <c r="O97" s="1625"/>
      <c r="P97" s="1625"/>
      <c r="AH97" s="1632">
        <v>0</v>
      </c>
    </row>
    <row s="1636" customFormat="1" customHeight="1" ht="18.75" hidden="1">
      <c r="A98" s="1781"/>
      <c r="B98" s="1781"/>
      <c r="C98" s="370" t="s">
        <v>1164</v>
      </c>
      <c r="D98" s="2463"/>
      <c r="E98" s="2205"/>
      <c r="F98" s="2384"/>
      <c r="G98" s="2428"/>
      <c r="H98" s="1501"/>
      <c r="I98" s="652" t="s">
        <v>1163</v>
      </c>
      <c r="J98" s="572"/>
      <c r="K98" s="1501"/>
      <c r="L98" s="215"/>
      <c r="M98" s="342"/>
      <c r="N98" s="335"/>
      <c r="O98" s="1625"/>
      <c r="P98" s="1625"/>
      <c r="AH98" s="1632">
        <v>0</v>
      </c>
    </row>
    <row s="1636" customFormat="1" customHeight="1" ht="0.75" hidden="1">
      <c r="A99" s="1781"/>
      <c r="B99" s="1781"/>
      <c r="C99" s="370" t="s">
        <v>1173</v>
      </c>
      <c r="D99" s="2463"/>
      <c r="E99" s="2205"/>
      <c r="F99" s="2384"/>
      <c r="G99" s="401"/>
      <c r="H99" s="1501"/>
      <c r="I99" s="652"/>
      <c r="J99" s="572"/>
      <c r="K99" s="1501"/>
      <c r="L99" s="215"/>
      <c r="M99" s="342"/>
      <c r="N99" s="335"/>
      <c r="O99" s="1625"/>
      <c r="P99" s="1625"/>
      <c r="AH99" s="1632">
        <v>0</v>
      </c>
    </row>
    <row s="1636" customFormat="1" customHeight="1" ht="45" hidden="1">
      <c r="A100" s="1781" t="s">
        <v>192</v>
      </c>
      <c r="B100" s="1781" t="s">
        <v>193</v>
      </c>
      <c r="C100" s="370"/>
      <c r="D100" s="2463"/>
      <c r="E100" s="2205"/>
      <c r="F100" s="2384" t="str">
        <f>INDEX(PT_DIFFERENTIATION_VTAR,MATCH(A100,PT_DIFFERENTIATION_VTAR_ID,0))</f>
        <v>Тарифы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v>
      </c>
      <c r="G100" s="2428" t="str">
        <f>INDEX(PT_DIFFERENTIATION_NTAR,MATCH(B100,PT_DIFFERENTIATION_NTAR_ID,0))</f>
        <v/>
      </c>
      <c r="H100" s="1863"/>
      <c r="I100" s="1740"/>
      <c r="J100" s="1774"/>
      <c r="K100" s="1779"/>
      <c r="L100" s="1863" t="s">
        <v>323</v>
      </c>
      <c r="M100" s="342"/>
      <c r="N100" s="335"/>
      <c r="O100" s="1625"/>
      <c r="P100" s="1625"/>
      <c r="AH100" s="1632">
        <v>0</v>
      </c>
    </row>
    <row s="1636" customFormat="1" customHeight="1" ht="18.75" hidden="1">
      <c r="A101" s="1781"/>
      <c r="B101" s="1781"/>
      <c r="C101" s="370" t="s">
        <v>1164</v>
      </c>
      <c r="D101" s="2463"/>
      <c r="E101" s="2205"/>
      <c r="F101" s="2384"/>
      <c r="G101" s="2428"/>
      <c r="H101" s="1501"/>
      <c r="I101" s="652" t="s">
        <v>1163</v>
      </c>
      <c r="J101" s="572"/>
      <c r="K101" s="1501"/>
      <c r="L101" s="215"/>
      <c r="M101" s="342"/>
      <c r="N101" s="335"/>
      <c r="O101" s="1625"/>
      <c r="P101" s="1625"/>
      <c r="AH101" s="1632">
        <v>0</v>
      </c>
    </row>
    <row s="1636" customFormat="1" customHeight="1" ht="0.75" hidden="1">
      <c r="A102" s="1781"/>
      <c r="B102" s="1781"/>
      <c r="C102" s="370" t="s">
        <v>1173</v>
      </c>
      <c r="D102" s="2463"/>
      <c r="E102" s="2205"/>
      <c r="F102" s="2384"/>
      <c r="G102" s="401"/>
      <c r="H102" s="1501"/>
      <c r="I102" s="652"/>
      <c r="J102" s="572"/>
      <c r="K102" s="1501"/>
      <c r="L102" s="215"/>
      <c r="M102" s="342"/>
      <c r="N102" s="335"/>
      <c r="O102" s="1625"/>
      <c r="P102" s="1625"/>
      <c r="AH102" s="1632">
        <v>0</v>
      </c>
    </row>
    <row s="1636" customFormat="1" customHeight="1" ht="18.75" hidden="1">
      <c r="A103" s="1781" t="s">
        <v>198</v>
      </c>
      <c r="B103" s="1781" t="s">
        <v>199</v>
      </c>
      <c r="C103" s="370"/>
      <c r="D103" s="2463"/>
      <c r="E103" s="2205"/>
      <c r="F103" s="2384" t="str">
        <f>INDEX(PT_DIFFERENTIATION_VTAR,MATCH(A103,PT_DIFFERENTIATION_VTAR_ID,0))</f>
        <v>Тарифы на услуги по передаче тепловой энергии</v>
      </c>
      <c r="G103" s="2428" t="str">
        <f>INDEX(PT_DIFFERENTIATION_NTAR,MATCH(B103,PT_DIFFERENTIATION_NTAR_ID,0))</f>
        <v/>
      </c>
      <c r="H103" s="1863"/>
      <c r="I103" s="1740"/>
      <c r="J103" s="1774"/>
      <c r="K103" s="1779"/>
      <c r="L103" s="1863" t="s">
        <v>323</v>
      </c>
      <c r="M103" s="342"/>
      <c r="N103" s="335"/>
      <c r="O103" s="1625"/>
      <c r="P103" s="1625"/>
      <c r="AH103" s="1632">
        <v>0</v>
      </c>
    </row>
    <row s="1636" customFormat="1" customHeight="1" ht="18.75" hidden="1">
      <c r="A104" s="1781"/>
      <c r="B104" s="1781"/>
      <c r="C104" s="370" t="s">
        <v>1164</v>
      </c>
      <c r="D104" s="2463"/>
      <c r="E104" s="2205"/>
      <c r="F104" s="2384"/>
      <c r="G104" s="2428"/>
      <c r="H104" s="1501"/>
      <c r="I104" s="652" t="s">
        <v>1163</v>
      </c>
      <c r="J104" s="572"/>
      <c r="K104" s="1501"/>
      <c r="L104" s="215"/>
      <c r="M104" s="342"/>
      <c r="N104" s="335"/>
      <c r="O104" s="1625"/>
      <c r="P104" s="1625"/>
      <c r="AH104" s="1632">
        <v>0</v>
      </c>
    </row>
    <row s="1636" customFormat="1" customHeight="1" ht="0.75" hidden="1">
      <c r="A105" s="1781"/>
      <c r="B105" s="1781"/>
      <c r="C105" s="370" t="s">
        <v>1173</v>
      </c>
      <c r="D105" s="2463"/>
      <c r="E105" s="2205"/>
      <c r="F105" s="2384"/>
      <c r="G105" s="401"/>
      <c r="H105" s="1501"/>
      <c r="I105" s="652"/>
      <c r="J105" s="572"/>
      <c r="K105" s="1501"/>
      <c r="L105" s="215"/>
      <c r="M105" s="342"/>
      <c r="N105" s="335"/>
      <c r="O105" s="1625"/>
      <c r="P105" s="1625"/>
      <c r="AH105" s="1632">
        <v>0</v>
      </c>
    </row>
    <row s="1636" customFormat="1" customHeight="1" ht="18.75" hidden="1">
      <c r="A106" s="1781" t="s">
        <v>204</v>
      </c>
      <c r="B106" s="1781" t="s">
        <v>205</v>
      </c>
      <c r="C106" s="370"/>
      <c r="D106" s="2463"/>
      <c r="E106" s="2205"/>
      <c r="F106" s="2384" t="str">
        <f>INDEX(PT_DIFFERENTIATION_VTAR,MATCH(A106,PT_DIFFERENTIATION_VTAR_ID,0))</f>
        <v>Тарифы на услуги по передаче теплоносителя</v>
      </c>
      <c r="G106" s="2428" t="str">
        <f>INDEX(PT_DIFFERENTIATION_NTAR,MATCH(B106,PT_DIFFERENTIATION_NTAR_ID,0))</f>
        <v/>
      </c>
      <c r="H106" s="1863"/>
      <c r="I106" s="1740"/>
      <c r="J106" s="1774"/>
      <c r="K106" s="1779"/>
      <c r="L106" s="1863" t="s">
        <v>323</v>
      </c>
      <c r="M106" s="342"/>
      <c r="N106" s="335"/>
      <c r="O106" s="1625"/>
      <c r="P106" s="1625"/>
      <c r="AH106" s="1632">
        <v>0</v>
      </c>
    </row>
    <row s="1636" customFormat="1" customHeight="1" ht="18.75" hidden="1">
      <c r="A107" s="1781"/>
      <c r="B107" s="1781"/>
      <c r="C107" s="370" t="s">
        <v>1164</v>
      </c>
      <c r="D107" s="2463"/>
      <c r="E107" s="2205"/>
      <c r="F107" s="2384"/>
      <c r="G107" s="2428"/>
      <c r="H107" s="1501"/>
      <c r="I107" s="652" t="s">
        <v>1163</v>
      </c>
      <c r="J107" s="572"/>
      <c r="K107" s="1501"/>
      <c r="L107" s="215"/>
      <c r="M107" s="342"/>
      <c r="N107" s="335"/>
      <c r="O107" s="1625"/>
      <c r="P107" s="1625"/>
      <c r="AH107" s="1632">
        <v>0</v>
      </c>
    </row>
    <row s="1636" customFormat="1" customHeight="1" ht="0.75" hidden="1">
      <c r="A108" s="1781"/>
      <c r="B108" s="1781"/>
      <c r="C108" s="370" t="s">
        <v>1173</v>
      </c>
      <c r="D108" s="2463"/>
      <c r="E108" s="2205"/>
      <c r="F108" s="2384"/>
      <c r="G108" s="401"/>
      <c r="H108" s="1501"/>
      <c r="I108" s="652"/>
      <c r="J108" s="572"/>
      <c r="K108" s="1501"/>
      <c r="L108" s="215"/>
      <c r="M108" s="342"/>
      <c r="N108" s="335"/>
      <c r="O108" s="1625"/>
      <c r="P108" s="1625"/>
      <c r="AH108" s="1632">
        <v>0</v>
      </c>
    </row>
    <row s="1636" customFormat="1" customHeight="1" ht="18.75" hidden="1">
      <c r="A109" s="1781" t="s">
        <v>210</v>
      </c>
      <c r="B109" s="1781" t="s">
        <v>211</v>
      </c>
      <c r="C109" s="370"/>
      <c r="D109" s="2463"/>
      <c r="E109" s="2205"/>
      <c r="F109" s="2384" t="str">
        <f>INDEX(PT_DIFFERENTIATION_VTAR,MATCH(A109,PT_DIFFERENTIATION_VTAR_ID,0))</f>
        <v>Плата за услуги по поддержанию резервной тепловой мощности при отсутствии потребления тепловой энергии</v>
      </c>
      <c r="G109" s="2428" t="str">
        <f>INDEX(PT_DIFFERENTIATION_NTAR,MATCH(B109,PT_DIFFERENTIATION_NTAR_ID,0))</f>
        <v/>
      </c>
      <c r="H109" s="1863"/>
      <c r="I109" s="1740"/>
      <c r="J109" s="1774"/>
      <c r="K109" s="1779"/>
      <c r="L109" s="1863" t="s">
        <v>323</v>
      </c>
      <c r="M109" s="342"/>
      <c r="N109" s="335"/>
      <c r="O109" s="1625"/>
      <c r="P109" s="1625"/>
      <c r="AH109" s="1632">
        <v>0</v>
      </c>
    </row>
    <row s="1636" customFormat="1" customHeight="1" ht="18.75" hidden="1">
      <c r="A110" s="1781"/>
      <c r="B110" s="1781"/>
      <c r="C110" s="370" t="s">
        <v>1164</v>
      </c>
      <c r="D110" s="2463"/>
      <c r="E110" s="2205"/>
      <c r="F110" s="2384"/>
      <c r="G110" s="2428"/>
      <c r="H110" s="1501"/>
      <c r="I110" s="652" t="s">
        <v>1163</v>
      </c>
      <c r="J110" s="572"/>
      <c r="K110" s="1501"/>
      <c r="L110" s="215"/>
      <c r="M110" s="342"/>
      <c r="N110" s="335"/>
      <c r="O110" s="1625"/>
      <c r="P110" s="1625"/>
      <c r="AH110" s="1632">
        <v>0</v>
      </c>
    </row>
    <row s="1636" customFormat="1" customHeight="1" ht="0.75" hidden="1">
      <c r="A111" s="1781"/>
      <c r="B111" s="1781"/>
      <c r="C111" s="370" t="s">
        <v>1173</v>
      </c>
      <c r="D111" s="2463"/>
      <c r="E111" s="2205"/>
      <c r="F111" s="2384"/>
      <c r="G111" s="401"/>
      <c r="H111" s="1501"/>
      <c r="I111" s="652"/>
      <c r="J111" s="572"/>
      <c r="K111" s="1501"/>
      <c r="L111" s="215"/>
      <c r="M111" s="342"/>
      <c r="N111" s="335"/>
      <c r="O111" s="1625"/>
      <c r="P111" s="1625"/>
      <c r="AH111" s="1632">
        <v>0</v>
      </c>
    </row>
    <row s="1636" customFormat="1" customHeight="1" ht="18.75" hidden="1">
      <c r="A112" s="1781" t="s">
        <v>216</v>
      </c>
      <c r="B112" s="1781" t="s">
        <v>217</v>
      </c>
      <c r="C112" s="370"/>
      <c r="D112" s="2463"/>
      <c r="E112" s="2205"/>
      <c r="F112" s="2384" t="str">
        <f>INDEX(PT_DIFFERENTIATION_VTAR,MATCH(A112,PT_DIFFERENTIATION_VTAR_ID,0))</f>
        <v>Плата за подключение (технологическое присоединение) к системе теплоснабжения</v>
      </c>
      <c r="G112" s="2428" t="str">
        <f>INDEX(PT_DIFFERENTIATION_NTAR,MATCH(B112,PT_DIFFERENTIATION_NTAR_ID,0))</f>
        <v/>
      </c>
      <c r="H112" s="1863"/>
      <c r="I112" s="1740"/>
      <c r="J112" s="1774"/>
      <c r="K112" s="1779"/>
      <c r="L112" s="1863" t="s">
        <v>323</v>
      </c>
      <c r="M112" s="342"/>
      <c r="N112" s="335"/>
      <c r="O112" s="1625"/>
      <c r="P112" s="1625"/>
      <c r="AH112" s="1632">
        <v>0</v>
      </c>
    </row>
    <row s="1636" customFormat="1" customHeight="1" ht="18.75" hidden="1">
      <c r="A113" s="1781"/>
      <c r="B113" s="1781"/>
      <c r="C113" s="370" t="s">
        <v>1164</v>
      </c>
      <c r="D113" s="2463"/>
      <c r="E113" s="2205"/>
      <c r="F113" s="2384"/>
      <c r="G113" s="2428"/>
      <c r="H113" s="1501"/>
      <c r="I113" s="652" t="s">
        <v>1163</v>
      </c>
      <c r="J113" s="572"/>
      <c r="K113" s="1501"/>
      <c r="L113" s="215"/>
      <c r="M113" s="342"/>
      <c r="N113" s="335"/>
      <c r="O113" s="1625"/>
      <c r="P113" s="1625"/>
      <c r="AH113" s="1632">
        <v>0</v>
      </c>
    </row>
    <row s="1636" customFormat="1" customHeight="1" ht="0.75" hidden="1">
      <c r="A114" s="1781"/>
      <c r="B114" s="1781"/>
      <c r="C114" s="370" t="s">
        <v>1173</v>
      </c>
      <c r="D114" s="2463"/>
      <c r="E114" s="2205"/>
      <c r="F114" s="2384"/>
      <c r="G114" s="401"/>
      <c r="H114" s="1501"/>
      <c r="I114" s="652"/>
      <c r="J114" s="572"/>
      <c r="K114" s="1501"/>
      <c r="L114" s="215"/>
      <c r="M114" s="342"/>
      <c r="N114" s="335"/>
      <c r="O114" s="1625"/>
      <c r="P114" s="1625"/>
      <c r="AH114" s="1632">
        <v>0</v>
      </c>
    </row>
    <row s="1636" customFormat="1" customHeight="1" ht="18.75" hidden="1">
      <c r="A115" s="1781" t="s">
        <v>222</v>
      </c>
      <c r="B115" s="1781" t="s">
        <v>223</v>
      </c>
      <c r="C115" s="370"/>
      <c r="D115" s="2463"/>
      <c r="E115" s="2205"/>
      <c r="F115" s="2384" t="str">
        <f>INDEX(PT_DIFFERENTIATION_VTAR,MATCH(A115,PT_DIFFERENTIATION_VTAR_ID,0))</f>
        <v>Плата за подключение (технологическое присоединение) к системе теплоснабжения (индивидуальная)</v>
      </c>
      <c r="G115" s="2428" t="str">
        <f>INDEX(PT_DIFFERENTIATION_NTAR,MATCH(B115,PT_DIFFERENTIATION_NTAR_ID,0))</f>
        <v/>
      </c>
      <c r="H115" s="1990"/>
      <c r="I115" s="1740"/>
      <c r="J115" s="1774"/>
      <c r="K115" s="1779"/>
      <c r="L115" s="1990" t="s">
        <v>323</v>
      </c>
      <c r="M115" s="342"/>
      <c r="N115" s="335"/>
      <c r="O115" s="1625"/>
      <c r="P115" s="1625"/>
      <c r="AH115" s="1632">
        <v>0</v>
      </c>
    </row>
    <row s="1636" customFormat="1" customHeight="1" ht="18.75" hidden="1">
      <c r="A116" s="1781"/>
      <c r="B116" s="1781"/>
      <c r="C116" s="370" t="s">
        <v>1164</v>
      </c>
      <c r="D116" s="2463"/>
      <c r="E116" s="2205"/>
      <c r="F116" s="2384"/>
      <c r="G116" s="2428"/>
      <c r="H116" s="1501"/>
      <c r="I116" s="652" t="s">
        <v>1163</v>
      </c>
      <c r="J116" s="572"/>
      <c r="K116" s="1501"/>
      <c r="L116" s="215"/>
      <c r="M116" s="342"/>
      <c r="N116" s="335"/>
      <c r="O116" s="1625"/>
      <c r="P116" s="1625"/>
      <c r="AH116" s="1632">
        <v>0</v>
      </c>
    </row>
    <row s="1636" customFormat="1" customHeight="1" ht="0.75" hidden="1">
      <c r="A117" s="1781"/>
      <c r="B117" s="1781"/>
      <c r="C117" s="370" t="s">
        <v>1173</v>
      </c>
      <c r="D117" s="2463"/>
      <c r="E117" s="2205"/>
      <c r="F117" s="2384"/>
      <c r="G117" s="401"/>
      <c r="H117" s="1501"/>
      <c r="I117" s="652"/>
      <c r="J117" s="572"/>
      <c r="K117" s="1501"/>
      <c r="L117" s="215"/>
      <c r="M117" s="342"/>
      <c r="N117" s="335"/>
      <c r="O117" s="1625"/>
      <c r="P117" s="1625"/>
      <c r="AH117" s="1632">
        <v>0</v>
      </c>
    </row>
    <row s="1636" customFormat="1" customHeight="1" ht="18.75" hidden="1">
      <c r="A118" s="1781" t="s">
        <v>242</v>
      </c>
      <c r="B118" s="1781" t="s">
        <v>243</v>
      </c>
      <c r="C118" s="370"/>
      <c r="D118" s="2463"/>
      <c r="E118" s="2205"/>
      <c r="F118" s="2384" t="str">
        <f>INDEX(PT_DIFFERENTIATION_VTAR,MATCH(A118,PT_DIFFERENTIATION_VTAR_ID,0))</f>
        <v>Тариф на питьевую воду (питьевое водоснабжение)</v>
      </c>
      <c r="G118" s="2428" t="str">
        <f>INDEX(PT_DIFFERENTIATION_NTAR,MATCH(B118,PT_DIFFERENTIATION_NTAR_ID,0))</f>
        <v/>
      </c>
      <c r="H118" s="1863"/>
      <c r="I118" s="1740"/>
      <c r="J118" s="1774"/>
      <c r="K118" s="1779"/>
      <c r="L118" s="1863" t="s">
        <v>323</v>
      </c>
      <c r="M118" s="342"/>
      <c r="N118" s="335"/>
      <c r="O118" s="1625"/>
      <c r="P118" s="1625"/>
      <c r="AH118" s="1632">
        <v>0</v>
      </c>
    </row>
    <row s="1636" customFormat="1" customHeight="1" ht="18.75" hidden="1">
      <c r="A119" s="1781"/>
      <c r="B119" s="1781"/>
      <c r="C119" s="370" t="s">
        <v>1164</v>
      </c>
      <c r="D119" s="2463"/>
      <c r="E119" s="2205"/>
      <c r="F119" s="2384"/>
      <c r="G119" s="2428"/>
      <c r="H119" s="1501"/>
      <c r="I119" s="652" t="s">
        <v>1163</v>
      </c>
      <c r="J119" s="572"/>
      <c r="K119" s="1501"/>
      <c r="L119" s="215"/>
      <c r="M119" s="342"/>
      <c r="N119" s="335"/>
      <c r="O119" s="1625"/>
      <c r="P119" s="1625"/>
      <c r="AH119" s="1632">
        <v>0</v>
      </c>
    </row>
    <row s="1636" customFormat="1" customHeight="1" ht="0.75" hidden="1">
      <c r="A120" s="1781"/>
      <c r="B120" s="1781"/>
      <c r="C120" s="370" t="s">
        <v>1173</v>
      </c>
      <c r="D120" s="2463"/>
      <c r="E120" s="2205"/>
      <c r="F120" s="2384"/>
      <c r="G120" s="401"/>
      <c r="H120" s="1501"/>
      <c r="I120" s="652"/>
      <c r="J120" s="572"/>
      <c r="K120" s="1501"/>
      <c r="L120" s="215"/>
      <c r="M120" s="342"/>
      <c r="N120" s="335"/>
      <c r="O120" s="1625"/>
      <c r="P120" s="1625"/>
      <c r="AH120" s="1632">
        <v>0</v>
      </c>
    </row>
    <row s="1636" customFormat="1" customHeight="1" ht="18.75" hidden="1">
      <c r="A121" s="1781" t="s">
        <v>247</v>
      </c>
      <c r="B121" s="1781" t="s">
        <v>248</v>
      </c>
      <c r="C121" s="370"/>
      <c r="D121" s="2463"/>
      <c r="E121" s="2205"/>
      <c r="F121" s="2384" t="str">
        <f>INDEX(PT_DIFFERENTIATION_VTAR,MATCH(A121,PT_DIFFERENTIATION_VTAR_ID,0))</f>
        <v>Тариф на техническую воду</v>
      </c>
      <c r="G121" s="2428" t="str">
        <f>INDEX(PT_DIFFERENTIATION_NTAR,MATCH(B121,PT_DIFFERENTIATION_NTAR_ID,0))</f>
        <v/>
      </c>
      <c r="H121" s="1863"/>
      <c r="I121" s="1740"/>
      <c r="J121" s="1774"/>
      <c r="K121" s="1779"/>
      <c r="L121" s="1863" t="s">
        <v>323</v>
      </c>
      <c r="M121" s="342"/>
      <c r="N121" s="335"/>
      <c r="O121" s="1625"/>
      <c r="P121" s="1625"/>
      <c r="AH121" s="1632">
        <v>0</v>
      </c>
    </row>
    <row s="1636" customFormat="1" customHeight="1" ht="18.75" hidden="1">
      <c r="A122" s="1781"/>
      <c r="B122" s="1781"/>
      <c r="C122" s="370" t="s">
        <v>1164</v>
      </c>
      <c r="D122" s="2463"/>
      <c r="E122" s="2205"/>
      <c r="F122" s="2384"/>
      <c r="G122" s="2428"/>
      <c r="H122" s="1501"/>
      <c r="I122" s="652" t="s">
        <v>1163</v>
      </c>
      <c r="J122" s="572"/>
      <c r="K122" s="1501"/>
      <c r="L122" s="215"/>
      <c r="M122" s="342"/>
      <c r="N122" s="335"/>
      <c r="O122" s="1625"/>
      <c r="P122" s="1625"/>
      <c r="AH122" s="1632">
        <v>0</v>
      </c>
    </row>
    <row s="1636" customFormat="1" customHeight="1" ht="0.75" hidden="1">
      <c r="A123" s="1781"/>
      <c r="B123" s="1781"/>
      <c r="C123" s="370" t="s">
        <v>1173</v>
      </c>
      <c r="D123" s="2463"/>
      <c r="E123" s="2205"/>
      <c r="F123" s="2384"/>
      <c r="G123" s="401"/>
      <c r="H123" s="1501"/>
      <c r="I123" s="652"/>
      <c r="J123" s="572"/>
      <c r="K123" s="1501"/>
      <c r="L123" s="215"/>
      <c r="M123" s="342"/>
      <c r="N123" s="335"/>
      <c r="O123" s="1625"/>
      <c r="P123" s="1625"/>
      <c r="AH123" s="1632">
        <v>0</v>
      </c>
    </row>
    <row s="1636" customFormat="1" customHeight="1" ht="18.75" hidden="1">
      <c r="A124" s="1781" t="s">
        <v>252</v>
      </c>
      <c r="B124" s="1781" t="s">
        <v>253</v>
      </c>
      <c r="C124" s="370"/>
      <c r="D124" s="2463"/>
      <c r="E124" s="2205"/>
      <c r="F124" s="2384" t="str">
        <f>INDEX(PT_DIFFERENTIATION_VTAR,MATCH(A124,PT_DIFFERENTIATION_VTAR_ID,0))</f>
        <v>Тариф на транспортировку воды</v>
      </c>
      <c r="G124" s="2428" t="str">
        <f>INDEX(PT_DIFFERENTIATION_NTAR,MATCH(B124,PT_DIFFERENTIATION_NTAR_ID,0))</f>
        <v/>
      </c>
      <c r="H124" s="1863"/>
      <c r="I124" s="1740"/>
      <c r="J124" s="1774"/>
      <c r="K124" s="1779"/>
      <c r="L124" s="1863" t="s">
        <v>323</v>
      </c>
      <c r="M124" s="342"/>
      <c r="N124" s="335"/>
      <c r="O124" s="1625"/>
      <c r="P124" s="1625"/>
      <c r="AH124" s="1632">
        <v>0</v>
      </c>
    </row>
    <row s="1636" customFormat="1" customHeight="1" ht="18.75" hidden="1">
      <c r="A125" s="1781"/>
      <c r="B125" s="1781"/>
      <c r="C125" s="370" t="s">
        <v>1164</v>
      </c>
      <c r="D125" s="2463"/>
      <c r="E125" s="2205"/>
      <c r="F125" s="2384"/>
      <c r="G125" s="2428"/>
      <c r="H125" s="1501"/>
      <c r="I125" s="652" t="s">
        <v>1163</v>
      </c>
      <c r="J125" s="572"/>
      <c r="K125" s="1501"/>
      <c r="L125" s="215"/>
      <c r="M125" s="342"/>
      <c r="N125" s="335"/>
      <c r="O125" s="1625"/>
      <c r="P125" s="1625"/>
      <c r="AH125" s="1632">
        <v>0</v>
      </c>
    </row>
    <row s="1636" customFormat="1" customHeight="1" ht="0.75" hidden="1">
      <c r="A126" s="1781"/>
      <c r="B126" s="1781"/>
      <c r="C126" s="370" t="s">
        <v>1173</v>
      </c>
      <c r="D126" s="2463"/>
      <c r="E126" s="2205"/>
      <c r="F126" s="2384"/>
      <c r="G126" s="401"/>
      <c r="H126" s="1501"/>
      <c r="I126" s="652"/>
      <c r="J126" s="572"/>
      <c r="K126" s="1501"/>
      <c r="L126" s="215"/>
      <c r="M126" s="342"/>
      <c r="N126" s="335"/>
      <c r="O126" s="1625"/>
      <c r="P126" s="1625"/>
      <c r="AH126" s="1632">
        <v>0</v>
      </c>
    </row>
    <row s="1636" customFormat="1" customHeight="1" ht="18.75" hidden="1">
      <c r="A127" s="1781" t="s">
        <v>257</v>
      </c>
      <c r="B127" s="1781" t="s">
        <v>258</v>
      </c>
      <c r="C127" s="370"/>
      <c r="D127" s="2463"/>
      <c r="E127" s="2205"/>
      <c r="F127" s="2384" t="str">
        <f>INDEX(PT_DIFFERENTIATION_VTAR,MATCH(A127,PT_DIFFERENTIATION_VTAR_ID,0))</f>
        <v>Тариф на подвоз воды</v>
      </c>
      <c r="G127" s="2428" t="str">
        <f>INDEX(PT_DIFFERENTIATION_NTAR,MATCH(B127,PT_DIFFERENTIATION_NTAR_ID,0))</f>
        <v/>
      </c>
      <c r="H127" s="1863"/>
      <c r="I127" s="1740"/>
      <c r="J127" s="1774"/>
      <c r="K127" s="1779"/>
      <c r="L127" s="1863" t="s">
        <v>323</v>
      </c>
      <c r="M127" s="342"/>
      <c r="N127" s="335"/>
      <c r="O127" s="1625"/>
      <c r="P127" s="1625"/>
      <c r="AH127" s="1632">
        <v>0</v>
      </c>
    </row>
    <row s="1636" customFormat="1" customHeight="1" ht="18.75" hidden="1">
      <c r="A128" s="1781"/>
      <c r="B128" s="1781"/>
      <c r="C128" s="370" t="s">
        <v>1164</v>
      </c>
      <c r="D128" s="2463"/>
      <c r="E128" s="2205"/>
      <c r="F128" s="2384"/>
      <c r="G128" s="2428"/>
      <c r="H128" s="1501"/>
      <c r="I128" s="652" t="s">
        <v>1163</v>
      </c>
      <c r="J128" s="572"/>
      <c r="K128" s="1501"/>
      <c r="L128" s="215"/>
      <c r="M128" s="342"/>
      <c r="N128" s="335"/>
      <c r="O128" s="1625"/>
      <c r="P128" s="1625"/>
      <c r="AH128" s="1632">
        <v>0</v>
      </c>
    </row>
    <row s="1636" customFormat="1" customHeight="1" ht="0.75" hidden="1">
      <c r="A129" s="1781"/>
      <c r="B129" s="1781"/>
      <c r="C129" s="370" t="s">
        <v>1173</v>
      </c>
      <c r="D129" s="2463"/>
      <c r="E129" s="2205"/>
      <c r="F129" s="2384"/>
      <c r="G129" s="401"/>
      <c r="H129" s="1501"/>
      <c r="I129" s="652"/>
      <c r="J129" s="572"/>
      <c r="K129" s="1501"/>
      <c r="L129" s="215"/>
      <c r="M129" s="342"/>
      <c r="N129" s="335"/>
      <c r="O129" s="1625"/>
      <c r="P129" s="1625"/>
      <c r="AH129" s="1632">
        <v>0</v>
      </c>
    </row>
    <row s="1636" customFormat="1" customHeight="1" ht="18.75" hidden="1">
      <c r="A130" s="1781" t="s">
        <v>262</v>
      </c>
      <c r="B130" s="1781" t="s">
        <v>263</v>
      </c>
      <c r="C130" s="370"/>
      <c r="D130" s="2463"/>
      <c r="E130" s="2205"/>
      <c r="F130" s="2384" t="str">
        <f>INDEX(PT_DIFFERENTIATION_VTAR,MATCH(A130,PT_DIFFERENTIATION_VTAR_ID,0))</f>
        <v>Тариф на подключение (технологическое присоединение) к централизованной системе холодного водоснабжения</v>
      </c>
      <c r="G130" s="2428" t="str">
        <f>INDEX(PT_DIFFERENTIATION_NTAR,MATCH(B130,PT_DIFFERENTIATION_NTAR_ID,0))</f>
        <v/>
      </c>
      <c r="H130" s="1863"/>
      <c r="I130" s="1740"/>
      <c r="J130" s="1774"/>
      <c r="K130" s="1779"/>
      <c r="L130" s="1863" t="s">
        <v>323</v>
      </c>
      <c r="M130" s="342"/>
      <c r="N130" s="335"/>
      <c r="O130" s="1625"/>
      <c r="P130" s="1625"/>
      <c r="AH130" s="1632">
        <v>0</v>
      </c>
    </row>
    <row s="1636" customFormat="1" customHeight="1" ht="18.75" hidden="1">
      <c r="A131" s="1781"/>
      <c r="B131" s="1781"/>
      <c r="C131" s="370" t="s">
        <v>1164</v>
      </c>
      <c r="D131" s="2463"/>
      <c r="E131" s="2205"/>
      <c r="F131" s="2384"/>
      <c r="G131" s="2428"/>
      <c r="H131" s="1501"/>
      <c r="I131" s="652" t="s">
        <v>1163</v>
      </c>
      <c r="J131" s="572"/>
      <c r="K131" s="1501"/>
      <c r="L131" s="215"/>
      <c r="M131" s="342"/>
      <c r="N131" s="335"/>
      <c r="O131" s="1625"/>
      <c r="P131" s="1625"/>
      <c r="AH131" s="1632">
        <v>0</v>
      </c>
    </row>
    <row s="1636" customFormat="1" customHeight="1" ht="0.75" hidden="1">
      <c r="A132" s="1781"/>
      <c r="B132" s="1781"/>
      <c r="C132" s="370" t="s">
        <v>1173</v>
      </c>
      <c r="D132" s="2463"/>
      <c r="E132" s="2205"/>
      <c r="F132" s="2384"/>
      <c r="G132" s="401"/>
      <c r="H132" s="1501"/>
      <c r="I132" s="652"/>
      <c r="J132" s="572"/>
      <c r="K132" s="1501"/>
      <c r="L132" s="215"/>
      <c r="M132" s="342"/>
      <c r="N132" s="335"/>
      <c r="O132" s="1625"/>
      <c r="P132" s="1625"/>
      <c r="AH132" s="1632">
        <v>0</v>
      </c>
    </row>
    <row s="1636" customFormat="1" customHeight="1" ht="18.75" hidden="1">
      <c r="A133" s="1781" t="s">
        <v>267</v>
      </c>
      <c r="B133" s="1781" t="s">
        <v>268</v>
      </c>
      <c r="C133" s="370"/>
      <c r="D133" s="2463"/>
      <c r="E133" s="2205"/>
      <c r="F133" s="2384" t="str">
        <f>INDEX(PT_DIFFERENTIATION_VTAR,MATCH(A133,PT_DIFFERENTIATION_VTAR_ID,0))</f>
        <v>Тариф на горячую воду (горячее водоснабжение)</v>
      </c>
      <c r="G133" s="2428" t="str">
        <f>INDEX(PT_DIFFERENTIATION_NTAR,MATCH(B133,PT_DIFFERENTIATION_NTAR_ID,0))</f>
        <v/>
      </c>
      <c r="H133" s="1863"/>
      <c r="I133" s="1740"/>
      <c r="J133" s="1774"/>
      <c r="K133" s="1779"/>
      <c r="L133" s="1863" t="s">
        <v>323</v>
      </c>
      <c r="M133" s="342"/>
      <c r="N133" s="335"/>
      <c r="O133" s="1625"/>
      <c r="P133" s="1625"/>
      <c r="AH133" s="1632">
        <v>0</v>
      </c>
    </row>
    <row s="1636" customFormat="1" customHeight="1" ht="18.75" hidden="1">
      <c r="A134" s="1781"/>
      <c r="B134" s="1781"/>
      <c r="C134" s="370" t="s">
        <v>1164</v>
      </c>
      <c r="D134" s="2463"/>
      <c r="E134" s="2205"/>
      <c r="F134" s="2384"/>
      <c r="G134" s="2428"/>
      <c r="H134" s="1501"/>
      <c r="I134" s="652" t="s">
        <v>1163</v>
      </c>
      <c r="J134" s="572"/>
      <c r="K134" s="1501"/>
      <c r="L134" s="215"/>
      <c r="M134" s="342"/>
      <c r="N134" s="335"/>
      <c r="O134" s="1625"/>
      <c r="P134" s="1625"/>
      <c r="AH134" s="1632">
        <v>0</v>
      </c>
    </row>
    <row s="1636" customFormat="1" customHeight="1" ht="0.75" hidden="1">
      <c r="A135" s="1781"/>
      <c r="B135" s="1781"/>
      <c r="C135" s="370" t="s">
        <v>1173</v>
      </c>
      <c r="D135" s="2463"/>
      <c r="E135" s="2205"/>
      <c r="F135" s="2384"/>
      <c r="G135" s="401"/>
      <c r="H135" s="1501"/>
      <c r="I135" s="652"/>
      <c r="J135" s="572"/>
      <c r="K135" s="1501"/>
      <c r="L135" s="215"/>
      <c r="M135" s="342"/>
      <c r="N135" s="335"/>
      <c r="O135" s="1625"/>
      <c r="P135" s="1625"/>
      <c r="AH135" s="1632">
        <v>0</v>
      </c>
    </row>
    <row s="1636" customFormat="1" customHeight="1" ht="18.75" hidden="1">
      <c r="A136" s="1781" t="s">
        <v>272</v>
      </c>
      <c r="B136" s="1781" t="s">
        <v>273</v>
      </c>
      <c r="C136" s="370"/>
      <c r="D136" s="2463"/>
      <c r="E136" s="2205"/>
      <c r="F136" s="2384" t="str">
        <f>INDEX(PT_DIFFERENTIATION_VTAR,MATCH(A136,PT_DIFFERENTIATION_VTAR_ID,0))</f>
        <v>Тариф на транспортировку горячей воды</v>
      </c>
      <c r="G136" s="2428" t="str">
        <f>INDEX(PT_DIFFERENTIATION_NTAR,MATCH(B136,PT_DIFFERENTIATION_NTAR_ID,0))</f>
        <v/>
      </c>
      <c r="H136" s="1863"/>
      <c r="I136" s="1740"/>
      <c r="J136" s="1774"/>
      <c r="K136" s="1779"/>
      <c r="L136" s="1863" t="s">
        <v>323</v>
      </c>
      <c r="M136" s="342"/>
      <c r="N136" s="335"/>
      <c r="O136" s="1625"/>
      <c r="P136" s="1625"/>
      <c r="AH136" s="1632">
        <v>0</v>
      </c>
    </row>
    <row s="1636" customFormat="1" customHeight="1" ht="18.75" hidden="1">
      <c r="A137" s="1781"/>
      <c r="B137" s="1781"/>
      <c r="C137" s="370" t="s">
        <v>1164</v>
      </c>
      <c r="D137" s="2463"/>
      <c r="E137" s="2205"/>
      <c r="F137" s="2384"/>
      <c r="G137" s="2428"/>
      <c r="H137" s="1501"/>
      <c r="I137" s="652" t="s">
        <v>1163</v>
      </c>
      <c r="J137" s="572"/>
      <c r="K137" s="1501"/>
      <c r="L137" s="215"/>
      <c r="M137" s="342"/>
      <c r="N137" s="335"/>
      <c r="O137" s="1625"/>
      <c r="P137" s="1625"/>
      <c r="AH137" s="1632">
        <v>0</v>
      </c>
    </row>
    <row s="1636" customFormat="1" customHeight="1" ht="0.75" hidden="1">
      <c r="A138" s="1781"/>
      <c r="B138" s="1781"/>
      <c r="C138" s="370" t="s">
        <v>1173</v>
      </c>
      <c r="D138" s="2463"/>
      <c r="E138" s="2205"/>
      <c r="F138" s="2384"/>
      <c r="G138" s="401"/>
      <c r="H138" s="1501"/>
      <c r="I138" s="652"/>
      <c r="J138" s="572"/>
      <c r="K138" s="1501"/>
      <c r="L138" s="215"/>
      <c r="M138" s="342"/>
      <c r="N138" s="335"/>
      <c r="O138" s="1625"/>
      <c r="P138" s="1625"/>
      <c r="AH138" s="1632">
        <v>0</v>
      </c>
    </row>
    <row s="1636" customFormat="1" customHeight="1" ht="18.75" hidden="1">
      <c r="A139" s="1781" t="s">
        <v>277</v>
      </c>
      <c r="B139" s="1781" t="s">
        <v>278</v>
      </c>
      <c r="C139" s="370"/>
      <c r="D139" s="2463"/>
      <c r="E139" s="2205"/>
      <c r="F139" s="2384" t="str">
        <f>INDEX(PT_DIFFERENTIATION_VTAR,MATCH(A139,PT_DIFFERENTIATION_VTAR_ID,0))</f>
        <v>Тариф на подключение (технологическое присоединение) к централизованной системе горячего водоснабжения</v>
      </c>
      <c r="G139" s="2428" t="str">
        <f>INDEX(PT_DIFFERENTIATION_NTAR,MATCH(B139,PT_DIFFERENTIATION_NTAR_ID,0))</f>
        <v/>
      </c>
      <c r="H139" s="1863"/>
      <c r="I139" s="1740"/>
      <c r="J139" s="1774"/>
      <c r="K139" s="1779"/>
      <c r="L139" s="1863" t="s">
        <v>323</v>
      </c>
      <c r="M139" s="342"/>
      <c r="N139" s="335"/>
      <c r="O139" s="1625"/>
      <c r="P139" s="1625"/>
      <c r="AH139" s="1632">
        <v>0</v>
      </c>
    </row>
    <row s="1636" customFormat="1" customHeight="1" ht="18.75" hidden="1">
      <c r="A140" s="1781"/>
      <c r="B140" s="1781"/>
      <c r="C140" s="370" t="s">
        <v>1164</v>
      </c>
      <c r="D140" s="2463"/>
      <c r="E140" s="2205"/>
      <c r="F140" s="2384"/>
      <c r="G140" s="2428"/>
      <c r="H140" s="1501"/>
      <c r="I140" s="652" t="s">
        <v>1163</v>
      </c>
      <c r="J140" s="572"/>
      <c r="K140" s="1501"/>
      <c r="L140" s="215"/>
      <c r="M140" s="342"/>
      <c r="N140" s="335"/>
      <c r="O140" s="1625"/>
      <c r="P140" s="1625"/>
      <c r="AH140" s="1632">
        <v>0</v>
      </c>
    </row>
    <row s="1636" customFormat="1" customHeight="1" ht="0.75" hidden="1">
      <c r="A141" s="1781"/>
      <c r="B141" s="1781"/>
      <c r="C141" s="370" t="s">
        <v>1173</v>
      </c>
      <c r="D141" s="2463"/>
      <c r="E141" s="2205"/>
      <c r="F141" s="2384"/>
      <c r="G141" s="401"/>
      <c r="H141" s="1501"/>
      <c r="I141" s="652"/>
      <c r="J141" s="572"/>
      <c r="K141" s="1501"/>
      <c r="L141" s="215"/>
      <c r="M141" s="342"/>
      <c r="N141" s="335"/>
      <c r="O141" s="1625"/>
      <c r="P141" s="1625"/>
      <c r="AH141" s="1632">
        <v>0</v>
      </c>
    </row>
    <row s="1636" customFormat="1" customHeight="1" ht="18.75" hidden="1">
      <c r="A142" s="1781" t="s">
        <v>282</v>
      </c>
      <c r="B142" s="1781" t="s">
        <v>283</v>
      </c>
      <c r="C142" s="370"/>
      <c r="D142" s="2463"/>
      <c r="E142" s="2205"/>
      <c r="F142" s="2384" t="str">
        <f>INDEX(PT_DIFFERENTIATION_VTAR,MATCH(A142,PT_DIFFERENTIATION_VTAR_ID,0))</f>
        <v>Тариф на водоотведение</v>
      </c>
      <c r="G142" s="2428" t="str">
        <f>INDEX(PT_DIFFERENTIATION_NTAR,MATCH(B142,PT_DIFFERENTIATION_NTAR_ID,0))</f>
        <v/>
      </c>
      <c r="H142" s="1863"/>
      <c r="I142" s="1740"/>
      <c r="J142" s="1774"/>
      <c r="K142" s="1779"/>
      <c r="L142" s="1863" t="s">
        <v>323</v>
      </c>
      <c r="M142" s="342"/>
      <c r="N142" s="335"/>
      <c r="O142" s="1625"/>
      <c r="P142" s="1625"/>
      <c r="AH142" s="1632">
        <v>0</v>
      </c>
    </row>
    <row s="1636" customFormat="1" customHeight="1" ht="18.75" hidden="1">
      <c r="A143" s="1781"/>
      <c r="B143" s="1781"/>
      <c r="C143" s="370" t="s">
        <v>1164</v>
      </c>
      <c r="D143" s="2463"/>
      <c r="E143" s="2205"/>
      <c r="F143" s="2384"/>
      <c r="G143" s="2428"/>
      <c r="H143" s="1501"/>
      <c r="I143" s="652" t="s">
        <v>1163</v>
      </c>
      <c r="J143" s="572"/>
      <c r="K143" s="1501"/>
      <c r="L143" s="215"/>
      <c r="M143" s="342"/>
      <c r="N143" s="335"/>
      <c r="O143" s="1625"/>
      <c r="P143" s="1625"/>
      <c r="AH143" s="1632">
        <v>0</v>
      </c>
    </row>
    <row s="1636" customFormat="1" customHeight="1" ht="0.75" hidden="1">
      <c r="A144" s="1781"/>
      <c r="B144" s="1781"/>
      <c r="C144" s="370" t="s">
        <v>1173</v>
      </c>
      <c r="D144" s="2463"/>
      <c r="E144" s="2205"/>
      <c r="F144" s="2384"/>
      <c r="G144" s="401"/>
      <c r="H144" s="1501"/>
      <c r="I144" s="652"/>
      <c r="J144" s="572"/>
      <c r="K144" s="1501"/>
      <c r="L144" s="215"/>
      <c r="M144" s="342"/>
      <c r="N144" s="335"/>
      <c r="O144" s="1625"/>
      <c r="P144" s="1625"/>
      <c r="AH144" s="1632">
        <v>0</v>
      </c>
    </row>
    <row s="1636" customFormat="1" customHeight="1" ht="18.75" hidden="1">
      <c r="A145" s="1781" t="s">
        <v>287</v>
      </c>
      <c r="B145" s="1781" t="s">
        <v>288</v>
      </c>
      <c r="C145" s="370"/>
      <c r="D145" s="2463"/>
      <c r="E145" s="2205"/>
      <c r="F145" s="2384" t="str">
        <f>INDEX(PT_DIFFERENTIATION_VTAR,MATCH(A145,PT_DIFFERENTIATION_VTAR_ID,0))</f>
        <v>Тариф на транспортировку сточных вод</v>
      </c>
      <c r="G145" s="2428" t="str">
        <f>INDEX(PT_DIFFERENTIATION_NTAR,MATCH(B145,PT_DIFFERENTIATION_NTAR_ID,0))</f>
        <v/>
      </c>
      <c r="H145" s="1863"/>
      <c r="I145" s="1740"/>
      <c r="J145" s="1774"/>
      <c r="K145" s="1779"/>
      <c r="L145" s="1863" t="s">
        <v>323</v>
      </c>
      <c r="M145" s="342"/>
      <c r="N145" s="335"/>
      <c r="O145" s="1625"/>
      <c r="P145" s="1625"/>
      <c r="AH145" s="1632">
        <v>0</v>
      </c>
    </row>
    <row s="1636" customFormat="1" customHeight="1" ht="18.75" hidden="1">
      <c r="A146" s="1781"/>
      <c r="B146" s="1781"/>
      <c r="C146" s="370" t="s">
        <v>1164</v>
      </c>
      <c r="D146" s="2463"/>
      <c r="E146" s="2205"/>
      <c r="F146" s="2384"/>
      <c r="G146" s="2428"/>
      <c r="H146" s="1501"/>
      <c r="I146" s="652" t="s">
        <v>1163</v>
      </c>
      <c r="J146" s="572"/>
      <c r="K146" s="1501"/>
      <c r="L146" s="215"/>
      <c r="M146" s="342"/>
      <c r="N146" s="335"/>
      <c r="O146" s="1625"/>
      <c r="P146" s="1625"/>
      <c r="AH146" s="1632">
        <v>0</v>
      </c>
    </row>
    <row s="1636" customFormat="1" customHeight="1" ht="0.75" hidden="1">
      <c r="A147" s="1781"/>
      <c r="B147" s="1781"/>
      <c r="C147" s="370" t="s">
        <v>1173</v>
      </c>
      <c r="D147" s="2463"/>
      <c r="E147" s="2205"/>
      <c r="F147" s="2384"/>
      <c r="G147" s="401"/>
      <c r="H147" s="1501"/>
      <c r="I147" s="652"/>
      <c r="J147" s="572"/>
      <c r="K147" s="1501"/>
      <c r="L147" s="215"/>
      <c r="M147" s="342"/>
      <c r="N147" s="335"/>
      <c r="O147" s="1625"/>
      <c r="P147" s="1625"/>
      <c r="AH147" s="1632">
        <v>0</v>
      </c>
    </row>
    <row s="1636" customFormat="1" customHeight="1" ht="18.75" hidden="1">
      <c r="A148" s="1781" t="s">
        <v>292</v>
      </c>
      <c r="B148" s="1781" t="s">
        <v>293</v>
      </c>
      <c r="C148" s="370"/>
      <c r="D148" s="2463"/>
      <c r="E148" s="2205"/>
      <c r="F148" s="2384" t="str">
        <f>INDEX(PT_DIFFERENTIATION_VTAR,MATCH(A148,PT_DIFFERENTIATION_VTAR_ID,0))</f>
        <v>Тариф на подключение (технологическое присоединение) к централизованной системе водоотведения</v>
      </c>
      <c r="G148" s="2428" t="str">
        <f>INDEX(PT_DIFFERENTIATION_NTAR,MATCH(B148,PT_DIFFERENTIATION_NTAR_ID,0))</f>
        <v/>
      </c>
      <c r="H148" s="1863"/>
      <c r="I148" s="1740"/>
      <c r="J148" s="1774"/>
      <c r="K148" s="1779"/>
      <c r="L148" s="1863" t="s">
        <v>323</v>
      </c>
      <c r="M148" s="342"/>
      <c r="N148" s="335"/>
      <c r="O148" s="1625"/>
      <c r="P148" s="1625"/>
      <c r="AH148" s="1632">
        <v>0</v>
      </c>
    </row>
    <row s="1636" customFormat="1" customHeight="1" ht="18.75" hidden="1">
      <c r="A149" s="1781"/>
      <c r="B149" s="1781"/>
      <c r="C149" s="370" t="s">
        <v>1164</v>
      </c>
      <c r="D149" s="2463"/>
      <c r="E149" s="2205"/>
      <c r="F149" s="2384"/>
      <c r="G149" s="2428"/>
      <c r="H149" s="1501"/>
      <c r="I149" s="652" t="s">
        <v>1163</v>
      </c>
      <c r="J149" s="572"/>
      <c r="K149" s="1501"/>
      <c r="L149" s="215"/>
      <c r="M149" s="342"/>
      <c r="N149" s="335"/>
      <c r="O149" s="1625"/>
      <c r="P149" s="1625"/>
      <c r="AH149" s="1632">
        <v>0</v>
      </c>
    </row>
    <row s="1636" customFormat="1" customHeight="1" ht="1.05">
      <c r="A150" s="1781"/>
      <c r="B150" s="1781"/>
      <c r="C150" s="370" t="s">
        <v>1173</v>
      </c>
      <c r="D150" s="2463"/>
      <c r="E150" s="2205"/>
      <c r="F150" s="2384"/>
      <c r="G150" s="401"/>
      <c r="H150" s="1501"/>
      <c r="I150" s="652"/>
      <c r="J150" s="572"/>
      <c r="K150" s="1501"/>
      <c r="L150" s="215"/>
      <c r="M150" s="342"/>
      <c r="N150" s="335"/>
      <c r="O150" s="1625"/>
      <c r="P150" s="1625"/>
      <c r="AH150" s="1632">
        <v>1</v>
      </c>
    </row>
    <row customHeight="1" ht="19.95">
      <c r="A151" s="1781"/>
      <c r="B151" s="1781"/>
      <c r="D151" s="377"/>
      <c r="E151" s="148" t="s">
        <v>92</v>
      </c>
      <c r="F151" s="2461" t="str">
        <f>"Годовой объем "&amp;IF(TEMPLATE_SPHERE="HEAT","полезного отпуска тепловой энергии (теплоносителя)",IF(TEMPLATE_SPHERE="VOTV","принятых сточных вод","отпущенной "&amp;IF(TEMPLATE_SPHERE="COLDVSNA","потребителям воды","в сеть горячей воды")))</f>
        <v>Годовой объем полезного отпуска тепловой энергии (теплоносителя)</v>
      </c>
      <c r="G151" s="2461"/>
      <c r="H151" s="2461"/>
      <c r="I151" s="2461"/>
      <c r="J151" s="2461"/>
      <c r="K151" s="2461"/>
      <c r="L151" s="2461"/>
      <c r="M151" s="298"/>
      <c r="N151" s="335"/>
      <c r="AH151" s="375">
        <v>19</v>
      </c>
    </row>
    <row s="1636" customFormat="1" customHeight="1" ht="60.75" hidden="1">
      <c r="A152" s="1781" t="s">
        <v>163</v>
      </c>
      <c r="B152" s="1781" t="s">
        <v>164</v>
      </c>
      <c r="C152" s="370"/>
      <c r="D152" s="2463"/>
      <c r="E152" s="2205"/>
      <c r="F152" s="2384" t="str">
        <f>INDEX(PT_DIFFERENTIATION_VTAR,MATCH(A152,PT_DIFFERENTIATION_VTAR_ID,0))</f>
        <v>Тарифы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v>
      </c>
      <c r="G152" s="2428" t="str">
        <f>INDEX(PT_DIFFERENTIATION_NTAR,MATCH(B152,PT_DIFFERENTIATION_NTAR_ID,0))</f>
        <v/>
      </c>
      <c r="H152" s="1863"/>
      <c r="I152" s="1740"/>
      <c r="J152" s="1774"/>
      <c r="K152" s="1779"/>
      <c r="L152" s="1863" t="s">
        <v>323</v>
      </c>
      <c r="M152" s="2170" t="str">
        <f>"Значение в колонке «Вид тарифа» выбирается из перечня видов тарифов в сфере "&amp;TEMPLATE_SPHERE_RUS&amp;", предусмотренных законодательством в сфере "&amp;IF(TEMPLATE_SPHERE="HEAT","теплоснабжения","водоснабжения и водоотведения")&amp;".
Даты начала и окончания срока действия тарифов указываются в виде «ДД.ММ.ГГГГ».
Величина годового объема "&amp;IF(TEMPLATE_SPHERE="HEAT","полезного отпуска тепловой энергии (теплоносителя)","отпущенной потребителям воды")&amp;" указывается в колонке «Информация» в тыс. "&amp;IF(TEMPLATE_SPHERE="HEAT","Гкал","куб. м.")&amp;"
В случае дифференциации "&amp;IF(TEMPLATE_SPHERE="HEAT","полезного отпуска тепловой энергии (теплоносителя)","отпущенной потребителям воды")&amp;" по видам тарифов и (или) по срокам действия тарифов информация указывается в отдельных строках."</f>
        <v>Значение в колонке «Вид тарифа» выбирается из перечня видов тарифов в сфере теплоснабжения, предусмотренных законодательством в сфере теплоснабжения.
Даты начала и окончания срока действия тарифов указываются в виде «ДД.ММ.ГГГГ».
Величина годового объема полезного отпуска тепловой энергии (теплоносителя) указывается в колонке «Информация» в тыс. Гкал
В случае дифференциации полезного отпуска тепловой энергии (теплоносителя) по видам тарифов и (или) по срокам действия тарифов информация указывается в отдельных строках.</v>
      </c>
      <c r="N152" s="335"/>
      <c r="O152" s="1625"/>
      <c r="P152" s="1625"/>
      <c r="AH152" s="1632">
        <v>0</v>
      </c>
    </row>
    <row s="1636" customFormat="1" customHeight="1" ht="18.75" hidden="1">
      <c r="A153" s="1781"/>
      <c r="B153" s="1781"/>
      <c r="C153" s="370" t="s">
        <v>1164</v>
      </c>
      <c r="D153" s="2463"/>
      <c r="E153" s="2205"/>
      <c r="F153" s="2384"/>
      <c r="G153" s="2428"/>
      <c r="H153" s="1501"/>
      <c r="I153" s="652" t="s">
        <v>1163</v>
      </c>
      <c r="J153" s="572"/>
      <c r="K153" s="1501"/>
      <c r="L153" s="215"/>
      <c r="M153" s="2171"/>
      <c r="N153" s="335"/>
      <c r="O153" s="1625"/>
      <c r="P153" s="1625"/>
      <c r="AH153" s="1632">
        <v>0</v>
      </c>
    </row>
    <row s="1636" customFormat="1" customHeight="1" ht="0.75" hidden="1">
      <c r="A154" s="1781"/>
      <c r="B154" s="1781"/>
      <c r="C154" s="370" t="s">
        <v>1173</v>
      </c>
      <c r="D154" s="2463"/>
      <c r="E154" s="2205"/>
      <c r="F154" s="2384"/>
      <c r="G154" s="401"/>
      <c r="H154" s="1501"/>
      <c r="I154" s="652"/>
      <c r="J154" s="572"/>
      <c r="K154" s="1501"/>
      <c r="L154" s="215"/>
      <c r="M154" s="2171"/>
      <c r="N154" s="335"/>
      <c r="O154" s="1625"/>
      <c r="P154" s="1625"/>
      <c r="AH154" s="1632">
        <v>0</v>
      </c>
    </row>
    <row s="1636" customFormat="1" customHeight="1" ht="45">
      <c r="A155" s="1781" t="s">
        <v>171</v>
      </c>
      <c r="B155" s="1781" t="s">
        <v>172</v>
      </c>
      <c r="C155" s="370"/>
      <c r="D155" s="2463"/>
      <c r="E155" s="2205"/>
      <c r="F155" s="2384" t="str">
        <f>INDEX(PT_DIFFERENTIATION_VTAR,MATCH(A155,PT_DIFFERENTIATION_VTAR_ID,0))</f>
        <v>Тарифы на тепловую энергию (мощность), поставляемую теплоснабжающими организациями потребителям, другим теплоснабжающим организациям</v>
      </c>
      <c r="G155" s="2428" t="str">
        <f>INDEX(PT_DIFFERENTIATION_NTAR,MATCH(B155,PT_DIFFERENTIATION_NTAR_ID,0))</f>
        <v>Тарифы на тепловую энергию (мощность) на коллекторах источников тепловой энергии</v>
      </c>
      <c r="H155" s="1863"/>
      <c r="I155" s="1740">
        <v>46388</v>
      </c>
      <c r="J155" s="1774">
        <v>46752</v>
      </c>
      <c r="K155" s="1779">
        <v>2.03918646</v>
      </c>
      <c r="L155" s="1863" t="s">
        <v>323</v>
      </c>
      <c r="M155" s="2172"/>
      <c r="N155" s="335"/>
      <c r="O155" s="1625"/>
      <c r="P155" s="1625"/>
      <c r="AH155" s="1632">
        <v>0</v>
      </c>
    </row>
    <row s="1636" customFormat="1" customHeight="1" ht="18.75">
      <c r="A156" s="1781"/>
      <c r="B156" s="1781"/>
      <c r="C156" s="370" t="s">
        <v>1164</v>
      </c>
      <c r="D156" s="2463"/>
      <c r="E156" s="2205"/>
      <c r="F156" s="2384"/>
      <c r="G156" s="2428"/>
      <c r="H156" s="1501"/>
      <c r="I156" s="652" t="s">
        <v>1163</v>
      </c>
      <c r="J156" s="572"/>
      <c r="K156" s="1501"/>
      <c r="L156" s="215"/>
      <c r="M156" s="1862"/>
      <c r="N156" s="335"/>
      <c r="O156" s="1625"/>
      <c r="P156" s="1625"/>
      <c r="AH156" s="1632">
        <v>0</v>
      </c>
    </row>
    <row s="1636" customFormat="1" customHeight="1" ht="18.75">
      <c r="A157" s="1824" t="s">
        <v>171</v>
      </c>
      <c r="B157" s="1824" t="s">
        <v>180</v>
      </c>
      <c r="C157" s="1688"/>
      <c r="D157" s="345"/>
      <c r="E157" s="1032"/>
      <c r="F157" s="1032"/>
      <c r="G157" s="2428" t="str">
        <f>INDEX(PT_DIFFERENTIATION_NTAR,MATCH(B157,PT_DIFFERENTIATION_NTAR_ID,0))</f>
        <v>Тарифы на тепловую энергию (мощность), поставляемую потребителям</v>
      </c>
      <c r="H157" s="2272"/>
      <c r="I157" s="1740">
        <v>46388</v>
      </c>
      <c r="J157" s="1774">
        <v>46752</v>
      </c>
      <c r="K157" s="1779">
        <v>2149.47328806697</v>
      </c>
      <c r="L157" s="2272" t="s">
        <v>323</v>
      </c>
      <c r="M157" s="2319"/>
      <c r="N157" s="619"/>
      <c r="O157" s="1625"/>
      <c r="P157" s="1625"/>
      <c r="Q157" s="1636"/>
      <c r="R157" s="1636"/>
      <c r="S157" s="1636"/>
      <c r="T157" s="1636"/>
      <c r="U157" s="1636"/>
      <c r="V157" s="1636"/>
      <c r="W157" s="1636"/>
      <c r="X157" s="1636"/>
      <c r="Y157" s="1636"/>
      <c r="Z157" s="1636"/>
      <c r="AA157" s="1636"/>
      <c r="AB157" s="1636"/>
      <c r="AC157" s="1636"/>
      <c r="AD157" s="1636"/>
      <c r="AE157" s="1636"/>
      <c r="AF157" s="1636"/>
      <c r="AG157" s="1636"/>
      <c r="AH157" s="1636">
        <v>0</v>
      </c>
    </row>
    <row s="1636" customFormat="1" customHeight="1" ht="18.75">
      <c r="A158" s="1824"/>
      <c r="B158" s="1824"/>
      <c r="C158" s="1688" t="s">
        <v>1164</v>
      </c>
      <c r="D158" s="345"/>
      <c r="E158" s="1032"/>
      <c r="F158" s="1032"/>
      <c r="G158" s="2428"/>
      <c r="H158" s="2881"/>
      <c r="I158" s="2882" t="s">
        <v>1163</v>
      </c>
      <c r="J158" s="2883"/>
      <c r="K158" s="2884"/>
      <c r="L158" s="2885"/>
      <c r="M158" s="2319"/>
      <c r="N158" s="619"/>
      <c r="O158" s="1625"/>
      <c r="P158" s="1625"/>
      <c r="Q158" s="1636"/>
      <c r="R158" s="1636"/>
      <c r="S158" s="1636"/>
      <c r="T158" s="1636"/>
      <c r="U158" s="1636"/>
      <c r="V158" s="1636"/>
      <c r="W158" s="1636"/>
      <c r="X158" s="1636"/>
      <c r="Y158" s="1636"/>
      <c r="Z158" s="1636"/>
      <c r="AA158" s="1636"/>
      <c r="AB158" s="1636"/>
      <c r="AC158" s="1636"/>
      <c r="AD158" s="1636"/>
      <c r="AE158" s="1636"/>
      <c r="AF158" s="1636"/>
      <c r="AG158" s="1636"/>
      <c r="AH158" s="1636">
        <v>0</v>
      </c>
    </row>
    <row s="1636" customFormat="1" customHeight="1" ht="0.75">
      <c r="A159" s="1781"/>
      <c r="B159" s="1781"/>
      <c r="C159" s="370" t="s">
        <v>1173</v>
      </c>
      <c r="D159" s="2463"/>
      <c r="E159" s="2205"/>
      <c r="F159" s="2384"/>
      <c r="G159" s="401"/>
      <c r="H159" s="1501"/>
      <c r="I159" s="652"/>
      <c r="J159" s="572"/>
      <c r="K159" s="1501"/>
      <c r="L159" s="215"/>
      <c r="M159" s="342"/>
      <c r="N159" s="335"/>
      <c r="O159" s="1625"/>
      <c r="P159" s="1625"/>
      <c r="AH159" s="1632">
        <v>0</v>
      </c>
    </row>
    <row s="1636" customFormat="1" customHeight="1" ht="45" hidden="1">
      <c r="A160" s="1781" t="s">
        <v>186</v>
      </c>
      <c r="B160" s="1781" t="s">
        <v>187</v>
      </c>
      <c r="C160" s="370"/>
      <c r="D160" s="2463"/>
      <c r="E160" s="2205"/>
      <c r="F160" s="2384" t="str">
        <f>INDEX(PT_DIFFERENTIATION_VTAR,MATCH(A160,PT_DIFFERENTIATION_VTAR_ID,0))</f>
        <v>Тарифы на теплоноситель, поставляемый теплоснабжающими организациями потребителям, другим теплоснабжающим организациям</v>
      </c>
      <c r="G160" s="2428" t="str">
        <f>INDEX(PT_DIFFERENTIATION_NTAR,MATCH(B160,PT_DIFFERENTIATION_NTAR_ID,0))</f>
        <v/>
      </c>
      <c r="H160" s="1863"/>
      <c r="I160" s="1740"/>
      <c r="J160" s="1774"/>
      <c r="K160" s="1779"/>
      <c r="L160" s="1863" t="s">
        <v>323</v>
      </c>
      <c r="M160" s="342"/>
      <c r="N160" s="335"/>
      <c r="O160" s="1625"/>
      <c r="P160" s="1625"/>
      <c r="AH160" s="1632">
        <v>0</v>
      </c>
    </row>
    <row s="1636" customFormat="1" customHeight="1" ht="18.75" hidden="1">
      <c r="A161" s="1781"/>
      <c r="B161" s="1781"/>
      <c r="C161" s="370" t="s">
        <v>1164</v>
      </c>
      <c r="D161" s="2463"/>
      <c r="E161" s="2205"/>
      <c r="F161" s="2384"/>
      <c r="G161" s="2428"/>
      <c r="H161" s="1501"/>
      <c r="I161" s="652" t="s">
        <v>1163</v>
      </c>
      <c r="J161" s="572"/>
      <c r="K161" s="1501"/>
      <c r="L161" s="215"/>
      <c r="M161" s="342"/>
      <c r="N161" s="335"/>
      <c r="O161" s="1625"/>
      <c r="P161" s="1625"/>
      <c r="AH161" s="1632">
        <v>0</v>
      </c>
    </row>
    <row s="1636" customFormat="1" customHeight="1" ht="0.75" hidden="1">
      <c r="A162" s="1781"/>
      <c r="B162" s="1781"/>
      <c r="C162" s="370" t="s">
        <v>1173</v>
      </c>
      <c r="D162" s="2463"/>
      <c r="E162" s="2205"/>
      <c r="F162" s="2384"/>
      <c r="G162" s="401"/>
      <c r="H162" s="1501"/>
      <c r="I162" s="652"/>
      <c r="J162" s="572"/>
      <c r="K162" s="1501"/>
      <c r="L162" s="215"/>
      <c r="M162" s="342"/>
      <c r="N162" s="335"/>
      <c r="O162" s="1625"/>
      <c r="P162" s="1625"/>
      <c r="AH162" s="1632">
        <v>0</v>
      </c>
    </row>
    <row s="1636" customFormat="1" customHeight="1" ht="45" hidden="1">
      <c r="A163" s="1781" t="s">
        <v>192</v>
      </c>
      <c r="B163" s="1781" t="s">
        <v>193</v>
      </c>
      <c r="C163" s="370"/>
      <c r="D163" s="2463"/>
      <c r="E163" s="2205"/>
      <c r="F163" s="2384" t="str">
        <f>INDEX(PT_DIFFERENTIATION_VTAR,MATCH(A163,PT_DIFFERENTIATION_VTAR_ID,0))</f>
        <v>Тарифы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v>
      </c>
      <c r="G163" s="2428" t="str">
        <f>INDEX(PT_DIFFERENTIATION_NTAR,MATCH(B163,PT_DIFFERENTIATION_NTAR_ID,0))</f>
        <v/>
      </c>
      <c r="H163" s="1863"/>
      <c r="I163" s="1740"/>
      <c r="J163" s="1774"/>
      <c r="K163" s="1779"/>
      <c r="L163" s="1863" t="s">
        <v>323</v>
      </c>
      <c r="M163" s="342"/>
      <c r="N163" s="335"/>
      <c r="O163" s="1625"/>
      <c r="P163" s="1625"/>
      <c r="AH163" s="1632">
        <v>0</v>
      </c>
    </row>
    <row s="1636" customFormat="1" customHeight="1" ht="18.75" hidden="1">
      <c r="A164" s="1781"/>
      <c r="B164" s="1781"/>
      <c r="C164" s="370" t="s">
        <v>1164</v>
      </c>
      <c r="D164" s="2463"/>
      <c r="E164" s="2205"/>
      <c r="F164" s="2384"/>
      <c r="G164" s="2428"/>
      <c r="H164" s="1501"/>
      <c r="I164" s="652" t="s">
        <v>1163</v>
      </c>
      <c r="J164" s="572"/>
      <c r="K164" s="1501"/>
      <c r="L164" s="215"/>
      <c r="M164" s="342"/>
      <c r="N164" s="335"/>
      <c r="O164" s="1625"/>
      <c r="P164" s="1625"/>
      <c r="AH164" s="1632">
        <v>0</v>
      </c>
    </row>
    <row s="1636" customFormat="1" customHeight="1" ht="0.75" hidden="1">
      <c r="A165" s="1781"/>
      <c r="B165" s="1781"/>
      <c r="C165" s="370" t="s">
        <v>1173</v>
      </c>
      <c r="D165" s="2463"/>
      <c r="E165" s="2205"/>
      <c r="F165" s="2384"/>
      <c r="G165" s="401"/>
      <c r="H165" s="1501"/>
      <c r="I165" s="652"/>
      <c r="J165" s="572"/>
      <c r="K165" s="1501"/>
      <c r="L165" s="215"/>
      <c r="M165" s="342"/>
      <c r="N165" s="335"/>
      <c r="O165" s="1625"/>
      <c r="P165" s="1625"/>
      <c r="AH165" s="1632">
        <v>0</v>
      </c>
    </row>
    <row s="1636" customFormat="1" customHeight="1" ht="18.75" hidden="1">
      <c r="A166" s="1781" t="s">
        <v>198</v>
      </c>
      <c r="B166" s="1781" t="s">
        <v>199</v>
      </c>
      <c r="C166" s="370"/>
      <c r="D166" s="2463"/>
      <c r="E166" s="2205"/>
      <c r="F166" s="2384" t="str">
        <f>INDEX(PT_DIFFERENTIATION_VTAR,MATCH(A166,PT_DIFFERENTIATION_VTAR_ID,0))</f>
        <v>Тарифы на услуги по передаче тепловой энергии</v>
      </c>
      <c r="G166" s="2428" t="str">
        <f>INDEX(PT_DIFFERENTIATION_NTAR,MATCH(B166,PT_DIFFERENTIATION_NTAR_ID,0))</f>
        <v/>
      </c>
      <c r="H166" s="1863"/>
      <c r="I166" s="1740"/>
      <c r="J166" s="1774"/>
      <c r="K166" s="1779"/>
      <c r="L166" s="1863" t="s">
        <v>323</v>
      </c>
      <c r="M166" s="342"/>
      <c r="N166" s="335"/>
      <c r="O166" s="1625"/>
      <c r="P166" s="1625"/>
      <c r="AH166" s="1632">
        <v>0</v>
      </c>
    </row>
    <row s="1636" customFormat="1" customHeight="1" ht="18.75" hidden="1">
      <c r="A167" s="1781"/>
      <c r="B167" s="1781"/>
      <c r="C167" s="370" t="s">
        <v>1164</v>
      </c>
      <c r="D167" s="2463"/>
      <c r="E167" s="2205"/>
      <c r="F167" s="2384"/>
      <c r="G167" s="2428"/>
      <c r="H167" s="1501"/>
      <c r="I167" s="652" t="s">
        <v>1163</v>
      </c>
      <c r="J167" s="572"/>
      <c r="K167" s="1501"/>
      <c r="L167" s="215"/>
      <c r="M167" s="342"/>
      <c r="N167" s="335"/>
      <c r="O167" s="1625"/>
      <c r="P167" s="1625"/>
      <c r="AH167" s="1632">
        <v>0</v>
      </c>
    </row>
    <row s="1636" customFormat="1" customHeight="1" ht="0.75" hidden="1">
      <c r="A168" s="1781"/>
      <c r="B168" s="1781"/>
      <c r="C168" s="370" t="s">
        <v>1173</v>
      </c>
      <c r="D168" s="2463"/>
      <c r="E168" s="2205"/>
      <c r="F168" s="2384"/>
      <c r="G168" s="401"/>
      <c r="H168" s="1501"/>
      <c r="I168" s="652"/>
      <c r="J168" s="572"/>
      <c r="K168" s="1501"/>
      <c r="L168" s="215"/>
      <c r="M168" s="342"/>
      <c r="N168" s="335"/>
      <c r="O168" s="1625"/>
      <c r="P168" s="1625"/>
      <c r="AH168" s="1632">
        <v>0</v>
      </c>
    </row>
    <row s="1636" customFormat="1" customHeight="1" ht="18.75" hidden="1">
      <c r="A169" s="1781" t="s">
        <v>204</v>
      </c>
      <c r="B169" s="1781" t="s">
        <v>205</v>
      </c>
      <c r="C169" s="370"/>
      <c r="D169" s="2463"/>
      <c r="E169" s="2205"/>
      <c r="F169" s="2384" t="str">
        <f>INDEX(PT_DIFFERENTIATION_VTAR,MATCH(A169,PT_DIFFERENTIATION_VTAR_ID,0))</f>
        <v>Тарифы на услуги по передаче теплоносителя</v>
      </c>
      <c r="G169" s="2428" t="str">
        <f>INDEX(PT_DIFFERENTIATION_NTAR,MATCH(B169,PT_DIFFERENTIATION_NTAR_ID,0))</f>
        <v/>
      </c>
      <c r="H169" s="1863"/>
      <c r="I169" s="1740"/>
      <c r="J169" s="1774"/>
      <c r="K169" s="1779"/>
      <c r="L169" s="1863" t="s">
        <v>323</v>
      </c>
      <c r="M169" s="342"/>
      <c r="N169" s="335"/>
      <c r="O169" s="1625"/>
      <c r="P169" s="1625"/>
      <c r="AH169" s="1632">
        <v>0</v>
      </c>
    </row>
    <row s="1636" customFormat="1" customHeight="1" ht="18.75" hidden="1">
      <c r="A170" s="1781"/>
      <c r="B170" s="1781"/>
      <c r="C170" s="370" t="s">
        <v>1164</v>
      </c>
      <c r="D170" s="2463"/>
      <c r="E170" s="2205"/>
      <c r="F170" s="2384"/>
      <c r="G170" s="2428"/>
      <c r="H170" s="1501"/>
      <c r="I170" s="652" t="s">
        <v>1163</v>
      </c>
      <c r="J170" s="572"/>
      <c r="K170" s="1501"/>
      <c r="L170" s="215"/>
      <c r="M170" s="342"/>
      <c r="N170" s="335"/>
      <c r="O170" s="1625"/>
      <c r="P170" s="1625"/>
      <c r="AH170" s="1632">
        <v>0</v>
      </c>
    </row>
    <row s="1636" customFormat="1" customHeight="1" ht="0.75" hidden="1">
      <c r="A171" s="1781"/>
      <c r="B171" s="1781"/>
      <c r="C171" s="370" t="s">
        <v>1173</v>
      </c>
      <c r="D171" s="2463"/>
      <c r="E171" s="2205"/>
      <c r="F171" s="2384"/>
      <c r="G171" s="401"/>
      <c r="H171" s="1501"/>
      <c r="I171" s="652"/>
      <c r="J171" s="572"/>
      <c r="K171" s="1501"/>
      <c r="L171" s="215"/>
      <c r="M171" s="342"/>
      <c r="N171" s="335"/>
      <c r="O171" s="1625"/>
      <c r="P171" s="1625"/>
      <c r="AH171" s="1632">
        <v>0</v>
      </c>
    </row>
    <row s="1636" customFormat="1" customHeight="1" ht="18.75" hidden="1">
      <c r="A172" s="1781" t="s">
        <v>210</v>
      </c>
      <c r="B172" s="1781" t="s">
        <v>211</v>
      </c>
      <c r="C172" s="370"/>
      <c r="D172" s="2463"/>
      <c r="E172" s="2205"/>
      <c r="F172" s="2384" t="str">
        <f>INDEX(PT_DIFFERENTIATION_VTAR,MATCH(A172,PT_DIFFERENTIATION_VTAR_ID,0))</f>
        <v>Плата за услуги по поддержанию резервной тепловой мощности при отсутствии потребления тепловой энергии</v>
      </c>
      <c r="G172" s="2428" t="str">
        <f>INDEX(PT_DIFFERENTIATION_NTAR,MATCH(B172,PT_DIFFERENTIATION_NTAR_ID,0))</f>
        <v/>
      </c>
      <c r="H172" s="1863"/>
      <c r="I172" s="1740"/>
      <c r="J172" s="1774"/>
      <c r="K172" s="1779"/>
      <c r="L172" s="1863" t="s">
        <v>323</v>
      </c>
      <c r="M172" s="342"/>
      <c r="N172" s="335"/>
      <c r="O172" s="1625"/>
      <c r="P172" s="1625"/>
      <c r="AH172" s="1632">
        <v>0</v>
      </c>
    </row>
    <row s="1636" customFormat="1" customHeight="1" ht="18.75" hidden="1">
      <c r="A173" s="1781"/>
      <c r="B173" s="1781"/>
      <c r="C173" s="370" t="s">
        <v>1164</v>
      </c>
      <c r="D173" s="2463"/>
      <c r="E173" s="2205"/>
      <c r="F173" s="2384"/>
      <c r="G173" s="2428"/>
      <c r="H173" s="1501"/>
      <c r="I173" s="652" t="s">
        <v>1163</v>
      </c>
      <c r="J173" s="572"/>
      <c r="K173" s="1501"/>
      <c r="L173" s="215"/>
      <c r="M173" s="342"/>
      <c r="N173" s="335"/>
      <c r="O173" s="1625"/>
      <c r="P173" s="1625"/>
      <c r="AH173" s="1632">
        <v>0</v>
      </c>
    </row>
    <row s="1636" customFormat="1" customHeight="1" ht="0.75" hidden="1">
      <c r="A174" s="1781"/>
      <c r="B174" s="1781"/>
      <c r="C174" s="370" t="s">
        <v>1173</v>
      </c>
      <c r="D174" s="2463"/>
      <c r="E174" s="2205"/>
      <c r="F174" s="2384"/>
      <c r="G174" s="401"/>
      <c r="H174" s="1501"/>
      <c r="I174" s="652"/>
      <c r="J174" s="572"/>
      <c r="K174" s="1501"/>
      <c r="L174" s="215"/>
      <c r="M174" s="342"/>
      <c r="N174" s="335"/>
      <c r="O174" s="1625"/>
      <c r="P174" s="1625"/>
      <c r="AH174" s="1632">
        <v>0</v>
      </c>
    </row>
    <row s="1636" customFormat="1" customHeight="1" ht="18.75" hidden="1">
      <c r="A175" s="1781" t="s">
        <v>216</v>
      </c>
      <c r="B175" s="1781" t="s">
        <v>217</v>
      </c>
      <c r="C175" s="370"/>
      <c r="D175" s="2463"/>
      <c r="E175" s="2205"/>
      <c r="F175" s="2384" t="str">
        <f>INDEX(PT_DIFFERENTIATION_VTAR,MATCH(A175,PT_DIFFERENTIATION_VTAR_ID,0))</f>
        <v>Плата за подключение (технологическое присоединение) к системе теплоснабжения</v>
      </c>
      <c r="G175" s="2428" t="str">
        <f>INDEX(PT_DIFFERENTIATION_NTAR,MATCH(B175,PT_DIFFERENTIATION_NTAR_ID,0))</f>
        <v/>
      </c>
      <c r="H175" s="1863"/>
      <c r="I175" s="1740"/>
      <c r="J175" s="1774"/>
      <c r="K175" s="1779"/>
      <c r="L175" s="1863" t="s">
        <v>323</v>
      </c>
      <c r="M175" s="342"/>
      <c r="N175" s="335"/>
      <c r="O175" s="1625"/>
      <c r="P175" s="1625"/>
      <c r="AH175" s="1632">
        <v>0</v>
      </c>
    </row>
    <row s="1636" customFormat="1" customHeight="1" ht="18.75" hidden="1">
      <c r="A176" s="1781"/>
      <c r="B176" s="1781"/>
      <c r="C176" s="370" t="s">
        <v>1164</v>
      </c>
      <c r="D176" s="2463"/>
      <c r="E176" s="2205"/>
      <c r="F176" s="2384"/>
      <c r="G176" s="2428"/>
      <c r="H176" s="1501"/>
      <c r="I176" s="652" t="s">
        <v>1163</v>
      </c>
      <c r="J176" s="572"/>
      <c r="K176" s="1501"/>
      <c r="L176" s="215"/>
      <c r="M176" s="342"/>
      <c r="N176" s="335"/>
      <c r="O176" s="1625"/>
      <c r="P176" s="1625"/>
      <c r="AH176" s="1632">
        <v>0</v>
      </c>
    </row>
    <row s="1636" customFormat="1" customHeight="1" ht="0.75" hidden="1">
      <c r="A177" s="1781"/>
      <c r="B177" s="1781"/>
      <c r="C177" s="370" t="s">
        <v>1173</v>
      </c>
      <c r="D177" s="2463"/>
      <c r="E177" s="2205"/>
      <c r="F177" s="2384"/>
      <c r="G177" s="401"/>
      <c r="H177" s="1501"/>
      <c r="I177" s="652"/>
      <c r="J177" s="572"/>
      <c r="K177" s="1501"/>
      <c r="L177" s="215"/>
      <c r="M177" s="342"/>
      <c r="N177" s="335"/>
      <c r="O177" s="1625"/>
      <c r="P177" s="1625"/>
      <c r="AH177" s="1632">
        <v>0</v>
      </c>
    </row>
    <row s="1636" customFormat="1" customHeight="1" ht="18.75" hidden="1">
      <c r="A178" s="1781" t="s">
        <v>222</v>
      </c>
      <c r="B178" s="1781" t="s">
        <v>223</v>
      </c>
      <c r="C178" s="370"/>
      <c r="D178" s="2463"/>
      <c r="E178" s="2205"/>
      <c r="F178" s="2384" t="str">
        <f>INDEX(PT_DIFFERENTIATION_VTAR,MATCH(A178,PT_DIFFERENTIATION_VTAR_ID,0))</f>
        <v>Плата за подключение (технологическое присоединение) к системе теплоснабжения (индивидуальная)</v>
      </c>
      <c r="G178" s="2428" t="str">
        <f>INDEX(PT_DIFFERENTIATION_NTAR,MATCH(B178,PT_DIFFERENTIATION_NTAR_ID,0))</f>
        <v/>
      </c>
      <c r="H178" s="1990"/>
      <c r="I178" s="1740"/>
      <c r="J178" s="1774"/>
      <c r="K178" s="1779"/>
      <c r="L178" s="1990" t="s">
        <v>323</v>
      </c>
      <c r="M178" s="342"/>
      <c r="N178" s="335"/>
      <c r="O178" s="1625"/>
      <c r="P178" s="1625"/>
      <c r="AH178" s="1632">
        <v>0</v>
      </c>
    </row>
    <row s="1636" customFormat="1" customHeight="1" ht="18.75" hidden="1">
      <c r="A179" s="1781"/>
      <c r="B179" s="1781"/>
      <c r="C179" s="370" t="s">
        <v>1164</v>
      </c>
      <c r="D179" s="2463"/>
      <c r="E179" s="2205"/>
      <c r="F179" s="2384"/>
      <c r="G179" s="2428"/>
      <c r="H179" s="1501"/>
      <c r="I179" s="652" t="s">
        <v>1163</v>
      </c>
      <c r="J179" s="572"/>
      <c r="K179" s="1501"/>
      <c r="L179" s="215"/>
      <c r="M179" s="342"/>
      <c r="N179" s="335"/>
      <c r="O179" s="1625"/>
      <c r="P179" s="1625"/>
      <c r="AH179" s="1632">
        <v>0</v>
      </c>
    </row>
    <row s="1636" customFormat="1" customHeight="1" ht="0.75" hidden="1">
      <c r="A180" s="1781"/>
      <c r="B180" s="1781"/>
      <c r="C180" s="370" t="s">
        <v>1173</v>
      </c>
      <c r="D180" s="2463"/>
      <c r="E180" s="2205"/>
      <c r="F180" s="2384"/>
      <c r="G180" s="401"/>
      <c r="H180" s="1501"/>
      <c r="I180" s="652"/>
      <c r="J180" s="572"/>
      <c r="K180" s="1501"/>
      <c r="L180" s="215"/>
      <c r="M180" s="342"/>
      <c r="N180" s="335"/>
      <c r="O180" s="1625"/>
      <c r="P180" s="1625"/>
      <c r="AH180" s="1632">
        <v>0</v>
      </c>
    </row>
    <row s="1636" customFormat="1" customHeight="1" ht="18.75" hidden="1">
      <c r="A181" s="1781" t="s">
        <v>242</v>
      </c>
      <c r="B181" s="1781" t="s">
        <v>243</v>
      </c>
      <c r="C181" s="370"/>
      <c r="D181" s="2463"/>
      <c r="E181" s="2205"/>
      <c r="F181" s="2384" t="str">
        <f>INDEX(PT_DIFFERENTIATION_VTAR,MATCH(A181,PT_DIFFERENTIATION_VTAR_ID,0))</f>
        <v>Тариф на питьевую воду (питьевое водоснабжение)</v>
      </c>
      <c r="G181" s="2428" t="str">
        <f>INDEX(PT_DIFFERENTIATION_NTAR,MATCH(B181,PT_DIFFERENTIATION_NTAR_ID,0))</f>
        <v/>
      </c>
      <c r="H181" s="1863"/>
      <c r="I181" s="1740"/>
      <c r="J181" s="1774"/>
      <c r="K181" s="1779"/>
      <c r="L181" s="1863" t="s">
        <v>323</v>
      </c>
      <c r="M181" s="342"/>
      <c r="N181" s="335"/>
      <c r="O181" s="1625"/>
      <c r="P181" s="1625"/>
      <c r="AH181" s="1632">
        <v>0</v>
      </c>
    </row>
    <row s="1636" customFormat="1" customHeight="1" ht="18.75" hidden="1">
      <c r="A182" s="1781"/>
      <c r="B182" s="1781"/>
      <c r="C182" s="370" t="s">
        <v>1164</v>
      </c>
      <c r="D182" s="2463"/>
      <c r="E182" s="2205"/>
      <c r="F182" s="2384"/>
      <c r="G182" s="2428"/>
      <c r="H182" s="1501"/>
      <c r="I182" s="652" t="s">
        <v>1163</v>
      </c>
      <c r="J182" s="572"/>
      <c r="K182" s="1501"/>
      <c r="L182" s="215"/>
      <c r="M182" s="342"/>
      <c r="N182" s="335"/>
      <c r="O182" s="1625"/>
      <c r="P182" s="1625"/>
      <c r="AH182" s="1632">
        <v>0</v>
      </c>
    </row>
    <row s="1636" customFormat="1" customHeight="1" ht="0.75" hidden="1">
      <c r="A183" s="1781"/>
      <c r="B183" s="1781"/>
      <c r="C183" s="370" t="s">
        <v>1173</v>
      </c>
      <c r="D183" s="2463"/>
      <c r="E183" s="2205"/>
      <c r="F183" s="2384"/>
      <c r="G183" s="401"/>
      <c r="H183" s="1501"/>
      <c r="I183" s="652"/>
      <c r="J183" s="572"/>
      <c r="K183" s="1501"/>
      <c r="L183" s="215"/>
      <c r="M183" s="342"/>
      <c r="N183" s="335"/>
      <c r="O183" s="1625"/>
      <c r="P183" s="1625"/>
      <c r="AH183" s="1632">
        <v>0</v>
      </c>
    </row>
    <row s="1636" customFormat="1" customHeight="1" ht="18.75" hidden="1">
      <c r="A184" s="1781" t="s">
        <v>247</v>
      </c>
      <c r="B184" s="1781" t="s">
        <v>248</v>
      </c>
      <c r="C184" s="370"/>
      <c r="D184" s="2463"/>
      <c r="E184" s="2205"/>
      <c r="F184" s="2384" t="str">
        <f>INDEX(PT_DIFFERENTIATION_VTAR,MATCH(A184,PT_DIFFERENTIATION_VTAR_ID,0))</f>
        <v>Тариф на техническую воду</v>
      </c>
      <c r="G184" s="2428" t="str">
        <f>INDEX(PT_DIFFERENTIATION_NTAR,MATCH(B184,PT_DIFFERENTIATION_NTAR_ID,0))</f>
        <v/>
      </c>
      <c r="H184" s="1863"/>
      <c r="I184" s="1740"/>
      <c r="J184" s="1774"/>
      <c r="K184" s="1779"/>
      <c r="L184" s="1863" t="s">
        <v>323</v>
      </c>
      <c r="M184" s="342"/>
      <c r="N184" s="335"/>
      <c r="O184" s="1625"/>
      <c r="P184" s="1625"/>
      <c r="AH184" s="1632">
        <v>0</v>
      </c>
    </row>
    <row s="1636" customFormat="1" customHeight="1" ht="18.75" hidden="1">
      <c r="A185" s="1781"/>
      <c r="B185" s="1781"/>
      <c r="C185" s="370" t="s">
        <v>1164</v>
      </c>
      <c r="D185" s="2463"/>
      <c r="E185" s="2205"/>
      <c r="F185" s="2384"/>
      <c r="G185" s="2428"/>
      <c r="H185" s="1501"/>
      <c r="I185" s="652" t="s">
        <v>1163</v>
      </c>
      <c r="J185" s="572"/>
      <c r="K185" s="1501"/>
      <c r="L185" s="215"/>
      <c r="M185" s="342"/>
      <c r="N185" s="335"/>
      <c r="O185" s="1625"/>
      <c r="P185" s="1625"/>
      <c r="AH185" s="1632">
        <v>0</v>
      </c>
    </row>
    <row s="1636" customFormat="1" customHeight="1" ht="0.75" hidden="1">
      <c r="A186" s="1781"/>
      <c r="B186" s="1781"/>
      <c r="C186" s="370" t="s">
        <v>1173</v>
      </c>
      <c r="D186" s="2463"/>
      <c r="E186" s="2205"/>
      <c r="F186" s="2384"/>
      <c r="G186" s="401"/>
      <c r="H186" s="1501"/>
      <c r="I186" s="652"/>
      <c r="J186" s="572"/>
      <c r="K186" s="1501"/>
      <c r="L186" s="215"/>
      <c r="M186" s="342"/>
      <c r="N186" s="335"/>
      <c r="O186" s="1625"/>
      <c r="P186" s="1625"/>
      <c r="AH186" s="1632">
        <v>0</v>
      </c>
    </row>
    <row s="1636" customFormat="1" customHeight="1" ht="18.75" hidden="1">
      <c r="A187" s="1781" t="s">
        <v>252</v>
      </c>
      <c r="B187" s="1781" t="s">
        <v>253</v>
      </c>
      <c r="C187" s="370"/>
      <c r="D187" s="2463"/>
      <c r="E187" s="2205"/>
      <c r="F187" s="2384" t="str">
        <f>INDEX(PT_DIFFERENTIATION_VTAR,MATCH(A187,PT_DIFFERENTIATION_VTAR_ID,0))</f>
        <v>Тариф на транспортировку воды</v>
      </c>
      <c r="G187" s="2428" t="str">
        <f>INDEX(PT_DIFFERENTIATION_NTAR,MATCH(B187,PT_DIFFERENTIATION_NTAR_ID,0))</f>
        <v/>
      </c>
      <c r="H187" s="1863"/>
      <c r="I187" s="1740"/>
      <c r="J187" s="1774"/>
      <c r="K187" s="1779"/>
      <c r="L187" s="1863" t="s">
        <v>323</v>
      </c>
      <c r="M187" s="342"/>
      <c r="N187" s="335"/>
      <c r="O187" s="1625"/>
      <c r="P187" s="1625"/>
      <c r="AH187" s="1632">
        <v>0</v>
      </c>
    </row>
    <row s="1636" customFormat="1" customHeight="1" ht="18.75" hidden="1">
      <c r="A188" s="1781"/>
      <c r="B188" s="1781"/>
      <c r="C188" s="370" t="s">
        <v>1164</v>
      </c>
      <c r="D188" s="2463"/>
      <c r="E188" s="2205"/>
      <c r="F188" s="2384"/>
      <c r="G188" s="2428"/>
      <c r="H188" s="1501"/>
      <c r="I188" s="652" t="s">
        <v>1163</v>
      </c>
      <c r="J188" s="572"/>
      <c r="K188" s="1501"/>
      <c r="L188" s="215"/>
      <c r="M188" s="342"/>
      <c r="N188" s="335"/>
      <c r="O188" s="1625"/>
      <c r="P188" s="1625"/>
      <c r="AH188" s="1632">
        <v>0</v>
      </c>
    </row>
    <row s="1636" customFormat="1" customHeight="1" ht="0.75" hidden="1">
      <c r="A189" s="1781"/>
      <c r="B189" s="1781"/>
      <c r="C189" s="370" t="s">
        <v>1173</v>
      </c>
      <c r="D189" s="2463"/>
      <c r="E189" s="2205"/>
      <c r="F189" s="2384"/>
      <c r="G189" s="401"/>
      <c r="H189" s="1501"/>
      <c r="I189" s="652"/>
      <c r="J189" s="572"/>
      <c r="K189" s="1501"/>
      <c r="L189" s="215"/>
      <c r="M189" s="342"/>
      <c r="N189" s="335"/>
      <c r="O189" s="1625"/>
      <c r="P189" s="1625"/>
      <c r="AH189" s="1632">
        <v>0</v>
      </c>
    </row>
    <row s="1636" customFormat="1" customHeight="1" ht="18.75" hidden="1">
      <c r="A190" s="1781" t="s">
        <v>257</v>
      </c>
      <c r="B190" s="1781" t="s">
        <v>258</v>
      </c>
      <c r="C190" s="370"/>
      <c r="D190" s="2463"/>
      <c r="E190" s="2205"/>
      <c r="F190" s="2384" t="str">
        <f>INDEX(PT_DIFFERENTIATION_VTAR,MATCH(A190,PT_DIFFERENTIATION_VTAR_ID,0))</f>
        <v>Тариф на подвоз воды</v>
      </c>
      <c r="G190" s="2428" t="str">
        <f>INDEX(PT_DIFFERENTIATION_NTAR,MATCH(B190,PT_DIFFERENTIATION_NTAR_ID,0))</f>
        <v/>
      </c>
      <c r="H190" s="1863"/>
      <c r="I190" s="1740"/>
      <c r="J190" s="1774"/>
      <c r="K190" s="1779"/>
      <c r="L190" s="1863" t="s">
        <v>323</v>
      </c>
      <c r="M190" s="342"/>
      <c r="N190" s="335"/>
      <c r="O190" s="1625"/>
      <c r="P190" s="1625"/>
      <c r="AH190" s="1632">
        <v>0</v>
      </c>
    </row>
    <row s="1636" customFormat="1" customHeight="1" ht="18.75" hidden="1">
      <c r="A191" s="1781"/>
      <c r="B191" s="1781"/>
      <c r="C191" s="370" t="s">
        <v>1164</v>
      </c>
      <c r="D191" s="2463"/>
      <c r="E191" s="2205"/>
      <c r="F191" s="2384"/>
      <c r="G191" s="2428"/>
      <c r="H191" s="1501"/>
      <c r="I191" s="652" t="s">
        <v>1163</v>
      </c>
      <c r="J191" s="572"/>
      <c r="K191" s="1501"/>
      <c r="L191" s="215"/>
      <c r="M191" s="342"/>
      <c r="N191" s="335"/>
      <c r="O191" s="1625"/>
      <c r="P191" s="1625"/>
      <c r="AH191" s="1632">
        <v>0</v>
      </c>
    </row>
    <row s="1636" customFormat="1" customHeight="1" ht="0.75" hidden="1">
      <c r="A192" s="1781"/>
      <c r="B192" s="1781"/>
      <c r="C192" s="370" t="s">
        <v>1173</v>
      </c>
      <c r="D192" s="2463"/>
      <c r="E192" s="2205"/>
      <c r="F192" s="2384"/>
      <c r="G192" s="401"/>
      <c r="H192" s="1501"/>
      <c r="I192" s="652"/>
      <c r="J192" s="572"/>
      <c r="K192" s="1501"/>
      <c r="L192" s="215"/>
      <c r="M192" s="342"/>
      <c r="N192" s="335"/>
      <c r="O192" s="1625"/>
      <c r="P192" s="1625"/>
      <c r="AH192" s="1632">
        <v>0</v>
      </c>
    </row>
    <row s="1636" customFormat="1" customHeight="1" ht="18.75" hidden="1">
      <c r="A193" s="1781" t="s">
        <v>262</v>
      </c>
      <c r="B193" s="1781" t="s">
        <v>263</v>
      </c>
      <c r="C193" s="370"/>
      <c r="D193" s="2463"/>
      <c r="E193" s="2205"/>
      <c r="F193" s="2384" t="str">
        <f>INDEX(PT_DIFFERENTIATION_VTAR,MATCH(A193,PT_DIFFERENTIATION_VTAR_ID,0))</f>
        <v>Тариф на подключение (технологическое присоединение) к централизованной системе холодного водоснабжения</v>
      </c>
      <c r="G193" s="2428" t="str">
        <f>INDEX(PT_DIFFERENTIATION_NTAR,MATCH(B193,PT_DIFFERENTIATION_NTAR_ID,0))</f>
        <v/>
      </c>
      <c r="H193" s="1863"/>
      <c r="I193" s="1740"/>
      <c r="J193" s="1774"/>
      <c r="K193" s="1779"/>
      <c r="L193" s="1863" t="s">
        <v>323</v>
      </c>
      <c r="M193" s="342"/>
      <c r="N193" s="335"/>
      <c r="O193" s="1625"/>
      <c r="P193" s="1625"/>
      <c r="AH193" s="1632">
        <v>0</v>
      </c>
    </row>
    <row s="1636" customFormat="1" customHeight="1" ht="18.75" hidden="1">
      <c r="A194" s="1781"/>
      <c r="B194" s="1781"/>
      <c r="C194" s="370" t="s">
        <v>1164</v>
      </c>
      <c r="D194" s="2463"/>
      <c r="E194" s="2205"/>
      <c r="F194" s="2384"/>
      <c r="G194" s="2428"/>
      <c r="H194" s="1501"/>
      <c r="I194" s="652" t="s">
        <v>1163</v>
      </c>
      <c r="J194" s="572"/>
      <c r="K194" s="1501"/>
      <c r="L194" s="215"/>
      <c r="M194" s="342"/>
      <c r="N194" s="335"/>
      <c r="O194" s="1625"/>
      <c r="P194" s="1625"/>
      <c r="AH194" s="1632">
        <v>0</v>
      </c>
    </row>
    <row s="1636" customFormat="1" customHeight="1" ht="0.75" hidden="1">
      <c r="A195" s="1781"/>
      <c r="B195" s="1781"/>
      <c r="C195" s="370" t="s">
        <v>1173</v>
      </c>
      <c r="D195" s="2463"/>
      <c r="E195" s="2205"/>
      <c r="F195" s="2384"/>
      <c r="G195" s="401"/>
      <c r="H195" s="1501"/>
      <c r="I195" s="652"/>
      <c r="J195" s="572"/>
      <c r="K195" s="1501"/>
      <c r="L195" s="215"/>
      <c r="M195" s="342"/>
      <c r="N195" s="335"/>
      <c r="O195" s="1625"/>
      <c r="P195" s="1625"/>
      <c r="AH195" s="1632">
        <v>0</v>
      </c>
    </row>
    <row s="1636" customFormat="1" customHeight="1" ht="18.75" hidden="1">
      <c r="A196" s="1781" t="s">
        <v>267</v>
      </c>
      <c r="B196" s="1781" t="s">
        <v>268</v>
      </c>
      <c r="C196" s="370"/>
      <c r="D196" s="2463"/>
      <c r="E196" s="2205"/>
      <c r="F196" s="2384" t="str">
        <f>INDEX(PT_DIFFERENTIATION_VTAR,MATCH(A196,PT_DIFFERENTIATION_VTAR_ID,0))</f>
        <v>Тариф на горячую воду (горячее водоснабжение)</v>
      </c>
      <c r="G196" s="2428" t="str">
        <f>INDEX(PT_DIFFERENTIATION_NTAR,MATCH(B196,PT_DIFFERENTIATION_NTAR_ID,0))</f>
        <v/>
      </c>
      <c r="H196" s="1863"/>
      <c r="I196" s="1740"/>
      <c r="J196" s="1774"/>
      <c r="K196" s="1779"/>
      <c r="L196" s="1863" t="s">
        <v>323</v>
      </c>
      <c r="M196" s="342"/>
      <c r="N196" s="335"/>
      <c r="O196" s="1625"/>
      <c r="P196" s="1625"/>
      <c r="AH196" s="1632">
        <v>0</v>
      </c>
    </row>
    <row s="1636" customFormat="1" customHeight="1" ht="18.75" hidden="1">
      <c r="A197" s="1781"/>
      <c r="B197" s="1781"/>
      <c r="C197" s="370" t="s">
        <v>1164</v>
      </c>
      <c r="D197" s="2463"/>
      <c r="E197" s="2205"/>
      <c r="F197" s="2384"/>
      <c r="G197" s="2428"/>
      <c r="H197" s="1501"/>
      <c r="I197" s="652" t="s">
        <v>1163</v>
      </c>
      <c r="J197" s="572"/>
      <c r="K197" s="1501"/>
      <c r="L197" s="215"/>
      <c r="M197" s="342"/>
      <c r="N197" s="335"/>
      <c r="O197" s="1625"/>
      <c r="P197" s="1625"/>
      <c r="AH197" s="1632">
        <v>0</v>
      </c>
    </row>
    <row s="1636" customFormat="1" customHeight="1" ht="0.75" hidden="1">
      <c r="A198" s="1781"/>
      <c r="B198" s="1781"/>
      <c r="C198" s="370" t="s">
        <v>1173</v>
      </c>
      <c r="D198" s="2463"/>
      <c r="E198" s="2205"/>
      <c r="F198" s="2384"/>
      <c r="G198" s="401"/>
      <c r="H198" s="1501"/>
      <c r="I198" s="652"/>
      <c r="J198" s="572"/>
      <c r="K198" s="1501"/>
      <c r="L198" s="215"/>
      <c r="M198" s="342"/>
      <c r="N198" s="335"/>
      <c r="O198" s="1625"/>
      <c r="P198" s="1625"/>
      <c r="AH198" s="1632">
        <v>0</v>
      </c>
    </row>
    <row s="1636" customFormat="1" customHeight="1" ht="18.75" hidden="1">
      <c r="A199" s="1781" t="s">
        <v>272</v>
      </c>
      <c r="B199" s="1781" t="s">
        <v>273</v>
      </c>
      <c r="C199" s="370"/>
      <c r="D199" s="2463"/>
      <c r="E199" s="2205"/>
      <c r="F199" s="2384" t="str">
        <f>INDEX(PT_DIFFERENTIATION_VTAR,MATCH(A199,PT_DIFFERENTIATION_VTAR_ID,0))</f>
        <v>Тариф на транспортировку горячей воды</v>
      </c>
      <c r="G199" s="2428" t="str">
        <f>INDEX(PT_DIFFERENTIATION_NTAR,MATCH(B199,PT_DIFFERENTIATION_NTAR_ID,0))</f>
        <v/>
      </c>
      <c r="H199" s="1863"/>
      <c r="I199" s="1740"/>
      <c r="J199" s="1774"/>
      <c r="K199" s="1779"/>
      <c r="L199" s="1863" t="s">
        <v>323</v>
      </c>
      <c r="M199" s="342"/>
      <c r="N199" s="335"/>
      <c r="O199" s="1625"/>
      <c r="P199" s="1625"/>
      <c r="AH199" s="1632">
        <v>0</v>
      </c>
    </row>
    <row s="1636" customFormat="1" customHeight="1" ht="18.75" hidden="1">
      <c r="A200" s="1781"/>
      <c r="B200" s="1781"/>
      <c r="C200" s="370" t="s">
        <v>1164</v>
      </c>
      <c r="D200" s="2463"/>
      <c r="E200" s="2205"/>
      <c r="F200" s="2384"/>
      <c r="G200" s="2428"/>
      <c r="H200" s="1501"/>
      <c r="I200" s="652" t="s">
        <v>1163</v>
      </c>
      <c r="J200" s="572"/>
      <c r="K200" s="1501"/>
      <c r="L200" s="215"/>
      <c r="M200" s="342"/>
      <c r="N200" s="335"/>
      <c r="O200" s="1625"/>
      <c r="P200" s="1625"/>
      <c r="AH200" s="1632">
        <v>0</v>
      </c>
    </row>
    <row s="1636" customFormat="1" customHeight="1" ht="0.75" hidden="1">
      <c r="A201" s="1781"/>
      <c r="B201" s="1781"/>
      <c r="C201" s="370" t="s">
        <v>1173</v>
      </c>
      <c r="D201" s="2463"/>
      <c r="E201" s="2205"/>
      <c r="F201" s="2384"/>
      <c r="G201" s="401"/>
      <c r="H201" s="1501"/>
      <c r="I201" s="652"/>
      <c r="J201" s="572"/>
      <c r="K201" s="1501"/>
      <c r="L201" s="215"/>
      <c r="M201" s="342"/>
      <c r="N201" s="335"/>
      <c r="O201" s="1625"/>
      <c r="P201" s="1625"/>
      <c r="AH201" s="1632">
        <v>0</v>
      </c>
    </row>
    <row s="1636" customFormat="1" customHeight="1" ht="18.75" hidden="1">
      <c r="A202" s="1781" t="s">
        <v>277</v>
      </c>
      <c r="B202" s="1781" t="s">
        <v>278</v>
      </c>
      <c r="C202" s="370"/>
      <c r="D202" s="2463"/>
      <c r="E202" s="2205"/>
      <c r="F202" s="2384" t="str">
        <f>INDEX(PT_DIFFERENTIATION_VTAR,MATCH(A202,PT_DIFFERENTIATION_VTAR_ID,0))</f>
        <v>Тариф на подключение (технологическое присоединение) к централизованной системе горячего водоснабжения</v>
      </c>
      <c r="G202" s="2428" t="str">
        <f>INDEX(PT_DIFFERENTIATION_NTAR,MATCH(B202,PT_DIFFERENTIATION_NTAR_ID,0))</f>
        <v/>
      </c>
      <c r="H202" s="1863"/>
      <c r="I202" s="1740"/>
      <c r="J202" s="1774"/>
      <c r="K202" s="1779"/>
      <c r="L202" s="1863" t="s">
        <v>323</v>
      </c>
      <c r="M202" s="342"/>
      <c r="N202" s="335"/>
      <c r="O202" s="1625"/>
      <c r="P202" s="1625"/>
      <c r="AH202" s="1632">
        <v>0</v>
      </c>
    </row>
    <row s="1636" customFormat="1" customHeight="1" ht="18.75" hidden="1">
      <c r="A203" s="1781"/>
      <c r="B203" s="1781"/>
      <c r="C203" s="370" t="s">
        <v>1164</v>
      </c>
      <c r="D203" s="2463"/>
      <c r="E203" s="2205"/>
      <c r="F203" s="2384"/>
      <c r="G203" s="2428"/>
      <c r="H203" s="1501"/>
      <c r="I203" s="652" t="s">
        <v>1163</v>
      </c>
      <c r="J203" s="572"/>
      <c r="K203" s="1501"/>
      <c r="L203" s="215"/>
      <c r="M203" s="342"/>
      <c r="N203" s="335"/>
      <c r="O203" s="1625"/>
      <c r="P203" s="1625"/>
      <c r="AH203" s="1632">
        <v>0</v>
      </c>
    </row>
    <row s="1636" customFormat="1" customHeight="1" ht="0.75" hidden="1">
      <c r="A204" s="1781"/>
      <c r="B204" s="1781"/>
      <c r="C204" s="370" t="s">
        <v>1173</v>
      </c>
      <c r="D204" s="2463"/>
      <c r="E204" s="2205"/>
      <c r="F204" s="2384"/>
      <c r="G204" s="401"/>
      <c r="H204" s="1501"/>
      <c r="I204" s="652"/>
      <c r="J204" s="572"/>
      <c r="K204" s="1501"/>
      <c r="L204" s="215"/>
      <c r="M204" s="342"/>
      <c r="N204" s="335"/>
      <c r="O204" s="1625"/>
      <c r="P204" s="1625"/>
      <c r="AH204" s="1632">
        <v>0</v>
      </c>
    </row>
    <row s="1636" customFormat="1" customHeight="1" ht="18.75" hidden="1">
      <c r="A205" s="1781" t="s">
        <v>282</v>
      </c>
      <c r="B205" s="1781" t="s">
        <v>283</v>
      </c>
      <c r="C205" s="370"/>
      <c r="D205" s="2463"/>
      <c r="E205" s="2205"/>
      <c r="F205" s="2384" t="str">
        <f>INDEX(PT_DIFFERENTIATION_VTAR,MATCH(A205,PT_DIFFERENTIATION_VTAR_ID,0))</f>
        <v>Тариф на водоотведение</v>
      </c>
      <c r="G205" s="2428" t="str">
        <f>INDEX(PT_DIFFERENTIATION_NTAR,MATCH(B205,PT_DIFFERENTIATION_NTAR_ID,0))</f>
        <v/>
      </c>
      <c r="H205" s="1863"/>
      <c r="I205" s="1740"/>
      <c r="J205" s="1774"/>
      <c r="K205" s="1779"/>
      <c r="L205" s="1863" t="s">
        <v>323</v>
      </c>
      <c r="M205" s="342"/>
      <c r="N205" s="335"/>
      <c r="O205" s="1625"/>
      <c r="P205" s="1625"/>
      <c r="AH205" s="1632">
        <v>0</v>
      </c>
    </row>
    <row s="1636" customFormat="1" customHeight="1" ht="18.75" hidden="1">
      <c r="A206" s="1781"/>
      <c r="B206" s="1781"/>
      <c r="C206" s="370" t="s">
        <v>1164</v>
      </c>
      <c r="D206" s="2463"/>
      <c r="E206" s="2205"/>
      <c r="F206" s="2384"/>
      <c r="G206" s="2428"/>
      <c r="H206" s="1501"/>
      <c r="I206" s="652" t="s">
        <v>1163</v>
      </c>
      <c r="J206" s="572"/>
      <c r="K206" s="1501"/>
      <c r="L206" s="215"/>
      <c r="M206" s="342"/>
      <c r="N206" s="335"/>
      <c r="O206" s="1625"/>
      <c r="P206" s="1625"/>
      <c r="AH206" s="1632">
        <v>0</v>
      </c>
    </row>
    <row s="1636" customFormat="1" customHeight="1" ht="0.75" hidden="1">
      <c r="A207" s="1781"/>
      <c r="B207" s="1781"/>
      <c r="C207" s="370" t="s">
        <v>1173</v>
      </c>
      <c r="D207" s="2463"/>
      <c r="E207" s="2205"/>
      <c r="F207" s="2384"/>
      <c r="G207" s="401"/>
      <c r="H207" s="1501"/>
      <c r="I207" s="652"/>
      <c r="J207" s="572"/>
      <c r="K207" s="1501"/>
      <c r="L207" s="215"/>
      <c r="M207" s="342"/>
      <c r="N207" s="335"/>
      <c r="O207" s="1625"/>
      <c r="P207" s="1625"/>
      <c r="AH207" s="1632">
        <v>0</v>
      </c>
    </row>
    <row s="1636" customFormat="1" customHeight="1" ht="18.75" hidden="1">
      <c r="A208" s="1781" t="s">
        <v>287</v>
      </c>
      <c r="B208" s="1781" t="s">
        <v>288</v>
      </c>
      <c r="C208" s="370"/>
      <c r="D208" s="2463"/>
      <c r="E208" s="2205"/>
      <c r="F208" s="2384" t="str">
        <f>INDEX(PT_DIFFERENTIATION_VTAR,MATCH(A208,PT_DIFFERENTIATION_VTAR_ID,0))</f>
        <v>Тариф на транспортировку сточных вод</v>
      </c>
      <c r="G208" s="2428" t="str">
        <f>INDEX(PT_DIFFERENTIATION_NTAR,MATCH(B208,PT_DIFFERENTIATION_NTAR_ID,0))</f>
        <v/>
      </c>
      <c r="H208" s="1863"/>
      <c r="I208" s="1740"/>
      <c r="J208" s="1774"/>
      <c r="K208" s="1779"/>
      <c r="L208" s="1863" t="s">
        <v>323</v>
      </c>
      <c r="M208" s="342"/>
      <c r="N208" s="335"/>
      <c r="O208" s="1625"/>
      <c r="P208" s="1625"/>
      <c r="AH208" s="1632">
        <v>0</v>
      </c>
    </row>
    <row s="1636" customFormat="1" customHeight="1" ht="18.75" hidden="1">
      <c r="A209" s="1781"/>
      <c r="B209" s="1781"/>
      <c r="C209" s="370" t="s">
        <v>1164</v>
      </c>
      <c r="D209" s="2463"/>
      <c r="E209" s="2205"/>
      <c r="F209" s="2384"/>
      <c r="G209" s="2428"/>
      <c r="H209" s="1501"/>
      <c r="I209" s="652" t="s">
        <v>1163</v>
      </c>
      <c r="J209" s="572"/>
      <c r="K209" s="1501"/>
      <c r="L209" s="215"/>
      <c r="M209" s="342"/>
      <c r="N209" s="335"/>
      <c r="O209" s="1625"/>
      <c r="P209" s="1625"/>
      <c r="AH209" s="1632">
        <v>0</v>
      </c>
    </row>
    <row s="1636" customFormat="1" customHeight="1" ht="0.75" hidden="1">
      <c r="A210" s="1781"/>
      <c r="B210" s="1781"/>
      <c r="C210" s="370" t="s">
        <v>1173</v>
      </c>
      <c r="D210" s="2463"/>
      <c r="E210" s="2205"/>
      <c r="F210" s="2384"/>
      <c r="G210" s="401"/>
      <c r="H210" s="1501"/>
      <c r="I210" s="652"/>
      <c r="J210" s="572"/>
      <c r="K210" s="1501"/>
      <c r="L210" s="215"/>
      <c r="M210" s="342"/>
      <c r="N210" s="335"/>
      <c r="O210" s="1625"/>
      <c r="P210" s="1625"/>
      <c r="AH210" s="1632">
        <v>0</v>
      </c>
    </row>
    <row s="1636" customFormat="1" customHeight="1" ht="18.75" hidden="1">
      <c r="A211" s="1781" t="s">
        <v>292</v>
      </c>
      <c r="B211" s="1781" t="s">
        <v>293</v>
      </c>
      <c r="C211" s="370"/>
      <c r="D211" s="2463"/>
      <c r="E211" s="2205"/>
      <c r="F211" s="2384" t="str">
        <f>INDEX(PT_DIFFERENTIATION_VTAR,MATCH(A211,PT_DIFFERENTIATION_VTAR_ID,0))</f>
        <v>Тариф на подключение (технологическое присоединение) к централизованной системе водоотведения</v>
      </c>
      <c r="G211" s="2428" t="str">
        <f>INDEX(PT_DIFFERENTIATION_NTAR,MATCH(B211,PT_DIFFERENTIATION_NTAR_ID,0))</f>
        <v/>
      </c>
      <c r="H211" s="1863"/>
      <c r="I211" s="1740"/>
      <c r="J211" s="1774"/>
      <c r="K211" s="1779"/>
      <c r="L211" s="1863" t="s">
        <v>323</v>
      </c>
      <c r="M211" s="342"/>
      <c r="N211" s="335"/>
      <c r="O211" s="1625"/>
      <c r="P211" s="1625"/>
      <c r="AH211" s="1632">
        <v>0</v>
      </c>
    </row>
    <row s="1636" customFormat="1" customHeight="1" ht="18.75" hidden="1">
      <c r="A212" s="1781"/>
      <c r="B212" s="1781"/>
      <c r="C212" s="370" t="s">
        <v>1164</v>
      </c>
      <c r="D212" s="2463"/>
      <c r="E212" s="2205"/>
      <c r="F212" s="2384"/>
      <c r="G212" s="2428"/>
      <c r="H212" s="1501"/>
      <c r="I212" s="652" t="s">
        <v>1163</v>
      </c>
      <c r="J212" s="572"/>
      <c r="K212" s="1501"/>
      <c r="L212" s="215"/>
      <c r="M212" s="342"/>
      <c r="N212" s="335"/>
      <c r="O212" s="1625"/>
      <c r="P212" s="1625"/>
      <c r="AH212" s="1632">
        <v>0</v>
      </c>
    </row>
    <row s="1636" customFormat="1" customHeight="1" ht="1.05">
      <c r="A213" s="1781"/>
      <c r="B213" s="1781"/>
      <c r="C213" s="370" t="s">
        <v>1173</v>
      </c>
      <c r="D213" s="2463"/>
      <c r="E213" s="2205"/>
      <c r="F213" s="2384"/>
      <c r="G213" s="401"/>
      <c r="H213" s="1501"/>
      <c r="I213" s="652"/>
      <c r="J213" s="572"/>
      <c r="K213" s="1501"/>
      <c r="L213" s="215"/>
      <c r="M213" s="342"/>
      <c r="N213" s="335"/>
      <c r="O213" s="1625"/>
      <c r="P213" s="1625"/>
      <c r="AH213" s="1632">
        <v>1</v>
      </c>
    </row>
    <row customHeight="1" ht="27.299999999999997">
      <c r="A214" s="1781"/>
      <c r="B214" s="1781"/>
      <c r="D214" s="377"/>
      <c r="E214" s="148" t="s">
        <v>119</v>
      </c>
      <c r="F214" s="2461" t="str">
        <f>IF(TEMPLATE_SPHERE="HEAT","Размер недополученных доходов регулируемой организацией (при их наличии), исчисленный в соответствии с Основами ценообразования в сфере теплоснабжения,"&amp;" утвержденными постановлением Правительства Российской Федерации от 22 октября 2012 г. N 1075 ""О ценообразовании в сфере теплоснабжения""","Размер недополученных доходов организации холодного водоснабжения (при их наличии), исчисленных в соответствии с Основами ценообразования в сфере водоснабжения и водоотведения")</f>
        <v>Размер недополученных доходов регулируемой организацией (при их наличии), исчисленный в соответствии с Основами ценообразования в сфере теплоснабжения, утвержденными постановлением Правительства Российской Федерации от 22 октября 2012 г. N 1075 "О ценообразовании в сфере теплоснабжения"</v>
      </c>
      <c r="G214" s="2461"/>
      <c r="H214" s="2461"/>
      <c r="I214" s="2461"/>
      <c r="J214" s="2461"/>
      <c r="K214" s="2461"/>
      <c r="L214" s="2461"/>
      <c r="M214" s="298"/>
      <c r="N214" s="335"/>
      <c r="AH214" s="375">
        <v>26</v>
      </c>
    </row>
    <row s="1636" customFormat="1" customHeight="1" ht="60.75" hidden="1">
      <c r="A215" s="1781" t="s">
        <v>163</v>
      </c>
      <c r="B215" s="1781" t="s">
        <v>164</v>
      </c>
      <c r="C215" s="370"/>
      <c r="D215" s="2463"/>
      <c r="E215" s="2205"/>
      <c r="F215" s="2384" t="str">
        <f>INDEX(PT_DIFFERENTIATION_VTAR,MATCH(A215,PT_DIFFERENTIATION_VTAR_ID,0))</f>
        <v>Тарифы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v>
      </c>
      <c r="G215" s="2428" t="str">
        <f>INDEX(PT_DIFFERENTIATION_NTAR,MATCH(B215,PT_DIFFERENTIATION_NTAR_ID,0))</f>
        <v/>
      </c>
      <c r="H215" s="1863"/>
      <c r="I215" s="1740"/>
      <c r="J215" s="1774"/>
      <c r="K215" s="1779"/>
      <c r="L215" s="1863" t="s">
        <v>323</v>
      </c>
      <c r="M215" s="2170" t="str">
        <f>"Значение в колонке «Вид тарифа» выбирается из перечня видов тарифов в сфере "&amp;TEMPLATE_SPHERE_RUS&amp;", предусмотренных законодательством в сфере "&amp;IF(TEMPLATE_SPHERE="HEAT","теплоснабжения","водоснабжения и водоотведения")&amp;".
Даты начала и окончания срока действия тарифов указываются в виде «ДД.ММ.ГГГГ».
Величина недополученных доходов регулируемой организации указывается в колонке «Информация» в тыс. руб.
В случае отсутствия недополученных доходов организацией "&amp;IF(TEMPLATE_SPHERE="HEAT","регулируемой организацией",TEMPLATE_SPHERE_RUS)&amp;", исчисленных в соответствии с законодательством в сфере "&amp;IF(TEMPLATE_SPHERE="HEAT","теплоснабжения","водоснабжения и водоотведения")&amp;", указывается значение «0».
В случае дифференциации недополученных доходов организацией "&amp;TEMPLATE_SPHERE_RUS&amp;" по видам тарифов и/или по срокам действия тарифов информация указывается в отдельных строках."</f>
        <v>Значение в колонке «Вид тарифа» выбирается из перечня видов тарифов в сфере теплоснабжения, предусмотренных законодательством в сфере теплоснабжения.
Даты начала и окончания срока действия тарифов указываются в виде «ДД.ММ.ГГГГ».
Величина недополученных доходов регулируемой организации указывается в колонке «Информация» в тыс. руб.
В случае отсутствия недополученных доходов организацией регулируемой организацией, исчисленных в соответствии с законодательством в сфере теплоснабжения, указывается значение «0».
В случае дифференциации недополученных доходов организацией теплоснабжения по видам тарифов и/или по срокам действия тарифов информация указывается в отдельных строках.</v>
      </c>
      <c r="N215" s="335"/>
      <c r="O215" s="1625"/>
      <c r="P215" s="1625"/>
      <c r="AH215" s="1632">
        <v>0</v>
      </c>
    </row>
    <row s="1636" customFormat="1" customHeight="1" ht="18.75" hidden="1">
      <c r="A216" s="1781"/>
      <c r="B216" s="1781"/>
      <c r="C216" s="370" t="s">
        <v>1164</v>
      </c>
      <c r="D216" s="2463"/>
      <c r="E216" s="2205"/>
      <c r="F216" s="2384"/>
      <c r="G216" s="2428"/>
      <c r="H216" s="1501"/>
      <c r="I216" s="652" t="s">
        <v>1163</v>
      </c>
      <c r="J216" s="572"/>
      <c r="K216" s="1501"/>
      <c r="L216" s="215"/>
      <c r="M216" s="2171"/>
      <c r="N216" s="335"/>
      <c r="O216" s="1625"/>
      <c r="P216" s="1625"/>
      <c r="AH216" s="1632">
        <v>0</v>
      </c>
    </row>
    <row s="1636" customFormat="1" customHeight="1" ht="0.75" hidden="1">
      <c r="A217" s="1781"/>
      <c r="B217" s="1781"/>
      <c r="C217" s="370" t="s">
        <v>1173</v>
      </c>
      <c r="D217" s="2463"/>
      <c r="E217" s="2205"/>
      <c r="F217" s="2384"/>
      <c r="G217" s="401"/>
      <c r="H217" s="1501"/>
      <c r="I217" s="652"/>
      <c r="J217" s="572"/>
      <c r="K217" s="1501"/>
      <c r="L217" s="215"/>
      <c r="M217" s="2171"/>
      <c r="N217" s="335"/>
      <c r="O217" s="1625"/>
      <c r="P217" s="1625"/>
      <c r="AH217" s="1632">
        <v>0</v>
      </c>
    </row>
    <row s="1636" customFormat="1" customHeight="1" ht="45">
      <c r="A218" s="1781" t="s">
        <v>171</v>
      </c>
      <c r="B218" s="1781" t="s">
        <v>172</v>
      </c>
      <c r="C218" s="370"/>
      <c r="D218" s="2463"/>
      <c r="E218" s="2205"/>
      <c r="F218" s="2384" t="str">
        <f>INDEX(PT_DIFFERENTIATION_VTAR,MATCH(A218,PT_DIFFERENTIATION_VTAR_ID,0))</f>
        <v>Тарифы на тепловую энергию (мощность), поставляемую теплоснабжающими организациями потребителям, другим теплоснабжающим организациям</v>
      </c>
      <c r="G218" s="2428" t="str">
        <f>INDEX(PT_DIFFERENTIATION_NTAR,MATCH(B218,PT_DIFFERENTIATION_NTAR_ID,0))</f>
        <v>Тарифы на тепловую энергию (мощность) на коллекторах источников тепловой энергии</v>
      </c>
      <c r="H218" s="1863"/>
      <c r="I218" s="1740">
        <v>46388</v>
      </c>
      <c r="J218" s="1774">
        <v>46752</v>
      </c>
      <c r="K218" s="1779">
        <v>0</v>
      </c>
      <c r="L218" s="1863" t="s">
        <v>323</v>
      </c>
      <c r="M218" s="2172"/>
      <c r="N218" s="335"/>
      <c r="O218" s="1625"/>
      <c r="P218" s="1625"/>
      <c r="AH218" s="1632">
        <v>0</v>
      </c>
    </row>
    <row s="1636" customFormat="1" customHeight="1" ht="18.75">
      <c r="A219" s="1781"/>
      <c r="B219" s="1781"/>
      <c r="C219" s="370" t="s">
        <v>1164</v>
      </c>
      <c r="D219" s="2463"/>
      <c r="E219" s="2205"/>
      <c r="F219" s="2384"/>
      <c r="G219" s="2428"/>
      <c r="H219" s="1501"/>
      <c r="I219" s="652" t="s">
        <v>1163</v>
      </c>
      <c r="J219" s="572"/>
      <c r="K219" s="1501"/>
      <c r="L219" s="215"/>
      <c r="M219" s="1862"/>
      <c r="N219" s="335"/>
      <c r="O219" s="1625"/>
      <c r="P219" s="1625"/>
      <c r="AH219" s="1632">
        <v>0</v>
      </c>
    </row>
    <row s="1636" customFormat="1" customHeight="1" ht="18.75">
      <c r="A220" s="1824" t="s">
        <v>171</v>
      </c>
      <c r="B220" s="1824" t="s">
        <v>180</v>
      </c>
      <c r="C220" s="1688"/>
      <c r="D220" s="345"/>
      <c r="E220" s="1032"/>
      <c r="F220" s="1032"/>
      <c r="G220" s="2428" t="str">
        <f>INDEX(PT_DIFFERENTIATION_NTAR,MATCH(B220,PT_DIFFERENTIATION_NTAR_ID,0))</f>
        <v>Тарифы на тепловую энергию (мощность), поставляемую потребителям</v>
      </c>
      <c r="H220" s="2272"/>
      <c r="I220" s="1740">
        <v>46388</v>
      </c>
      <c r="J220" s="1774">
        <v>46752</v>
      </c>
      <c r="K220" s="1779">
        <v>969719.044141502</v>
      </c>
      <c r="L220" s="2272" t="s">
        <v>323</v>
      </c>
      <c r="M220" s="2319"/>
      <c r="N220" s="619"/>
      <c r="O220" s="1625"/>
      <c r="P220" s="1625"/>
      <c r="Q220" s="1636"/>
      <c r="R220" s="1636"/>
      <c r="S220" s="1636"/>
      <c r="T220" s="1636"/>
      <c r="U220" s="1636"/>
      <c r="V220" s="1636"/>
      <c r="W220" s="1636"/>
      <c r="X220" s="1636"/>
      <c r="Y220" s="1636"/>
      <c r="Z220" s="1636"/>
      <c r="AA220" s="1636"/>
      <c r="AB220" s="1636"/>
      <c r="AC220" s="1636"/>
      <c r="AD220" s="1636"/>
      <c r="AE220" s="1636"/>
      <c r="AF220" s="1636"/>
      <c r="AG220" s="1636"/>
      <c r="AH220" s="1636">
        <v>0</v>
      </c>
    </row>
    <row s="1636" customFormat="1" customHeight="1" ht="18.75">
      <c r="A221" s="1824"/>
      <c r="B221" s="1824"/>
      <c r="C221" s="1688" t="s">
        <v>1164</v>
      </c>
      <c r="D221" s="345"/>
      <c r="E221" s="1032"/>
      <c r="F221" s="1032"/>
      <c r="G221" s="2428"/>
      <c r="H221" s="2886"/>
      <c r="I221" s="2887" t="s">
        <v>1163</v>
      </c>
      <c r="J221" s="2888"/>
      <c r="K221" s="2889"/>
      <c r="L221" s="2890"/>
      <c r="M221" s="2319"/>
      <c r="N221" s="619"/>
      <c r="O221" s="1625"/>
      <c r="P221" s="1625"/>
      <c r="Q221" s="1636"/>
      <c r="R221" s="1636"/>
      <c r="S221" s="1636"/>
      <c r="T221" s="1636"/>
      <c r="U221" s="1636"/>
      <c r="V221" s="1636"/>
      <c r="W221" s="1636"/>
      <c r="X221" s="1636"/>
      <c r="Y221" s="1636"/>
      <c r="Z221" s="1636"/>
      <c r="AA221" s="1636"/>
      <c r="AB221" s="1636"/>
      <c r="AC221" s="1636"/>
      <c r="AD221" s="1636"/>
      <c r="AE221" s="1636"/>
      <c r="AF221" s="1636"/>
      <c r="AG221" s="1636"/>
      <c r="AH221" s="1636">
        <v>0</v>
      </c>
    </row>
    <row s="1636" customFormat="1" customHeight="1" ht="0.75">
      <c r="A222" s="1781"/>
      <c r="B222" s="1781"/>
      <c r="C222" s="370" t="s">
        <v>1173</v>
      </c>
      <c r="D222" s="2463"/>
      <c r="E222" s="2205"/>
      <c r="F222" s="2384"/>
      <c r="G222" s="401"/>
      <c r="H222" s="1501"/>
      <c r="I222" s="652"/>
      <c r="J222" s="572"/>
      <c r="K222" s="1501"/>
      <c r="L222" s="215"/>
      <c r="M222" s="342"/>
      <c r="N222" s="335"/>
      <c r="O222" s="1625"/>
      <c r="P222" s="1625"/>
      <c r="AH222" s="1632">
        <v>0</v>
      </c>
    </row>
    <row s="1636" customFormat="1" customHeight="1" ht="45" hidden="1">
      <c r="A223" s="1781" t="s">
        <v>186</v>
      </c>
      <c r="B223" s="1781" t="s">
        <v>187</v>
      </c>
      <c r="C223" s="370"/>
      <c r="D223" s="2463"/>
      <c r="E223" s="2205"/>
      <c r="F223" s="2384" t="str">
        <f>INDEX(PT_DIFFERENTIATION_VTAR,MATCH(A223,PT_DIFFERENTIATION_VTAR_ID,0))</f>
        <v>Тарифы на теплоноситель, поставляемый теплоснабжающими организациями потребителям, другим теплоснабжающим организациям</v>
      </c>
      <c r="G223" s="2428" t="str">
        <f>INDEX(PT_DIFFERENTIATION_NTAR,MATCH(B223,PT_DIFFERENTIATION_NTAR_ID,0))</f>
        <v/>
      </c>
      <c r="H223" s="1863"/>
      <c r="I223" s="1740"/>
      <c r="J223" s="1774"/>
      <c r="K223" s="1779"/>
      <c r="L223" s="1863" t="s">
        <v>323</v>
      </c>
      <c r="M223" s="342"/>
      <c r="N223" s="335"/>
      <c r="O223" s="1625"/>
      <c r="P223" s="1625"/>
      <c r="AH223" s="1632">
        <v>0</v>
      </c>
    </row>
    <row s="1636" customFormat="1" customHeight="1" ht="18.75" hidden="1">
      <c r="A224" s="1781"/>
      <c r="B224" s="1781"/>
      <c r="C224" s="370" t="s">
        <v>1164</v>
      </c>
      <c r="D224" s="2463"/>
      <c r="E224" s="2205"/>
      <c r="F224" s="2384"/>
      <c r="G224" s="2428"/>
      <c r="H224" s="1501"/>
      <c r="I224" s="652" t="s">
        <v>1163</v>
      </c>
      <c r="J224" s="572"/>
      <c r="K224" s="1501"/>
      <c r="L224" s="215"/>
      <c r="M224" s="342"/>
      <c r="N224" s="335"/>
      <c r="O224" s="1625"/>
      <c r="P224" s="1625"/>
      <c r="AH224" s="1632">
        <v>0</v>
      </c>
    </row>
    <row s="1636" customFormat="1" customHeight="1" ht="0.75" hidden="1">
      <c r="A225" s="1781"/>
      <c r="B225" s="1781"/>
      <c r="C225" s="370" t="s">
        <v>1173</v>
      </c>
      <c r="D225" s="2463"/>
      <c r="E225" s="2205"/>
      <c r="F225" s="2384"/>
      <c r="G225" s="401"/>
      <c r="H225" s="1501"/>
      <c r="I225" s="652"/>
      <c r="J225" s="572"/>
      <c r="K225" s="1501"/>
      <c r="L225" s="215"/>
      <c r="M225" s="342"/>
      <c r="N225" s="335"/>
      <c r="O225" s="1625"/>
      <c r="P225" s="1625"/>
      <c r="AH225" s="1632">
        <v>0</v>
      </c>
    </row>
    <row s="1636" customFormat="1" customHeight="1" ht="45" hidden="1">
      <c r="A226" s="1781" t="s">
        <v>192</v>
      </c>
      <c r="B226" s="1781" t="s">
        <v>193</v>
      </c>
      <c r="C226" s="370"/>
      <c r="D226" s="2463"/>
      <c r="E226" s="2205"/>
      <c r="F226" s="2384" t="str">
        <f>INDEX(PT_DIFFERENTIATION_VTAR,MATCH(A226,PT_DIFFERENTIATION_VTAR_ID,0))</f>
        <v>Тарифы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v>
      </c>
      <c r="G226" s="2428" t="str">
        <f>INDEX(PT_DIFFERENTIATION_NTAR,MATCH(B226,PT_DIFFERENTIATION_NTAR_ID,0))</f>
        <v/>
      </c>
      <c r="H226" s="1863"/>
      <c r="I226" s="1740"/>
      <c r="J226" s="1774"/>
      <c r="K226" s="1779"/>
      <c r="L226" s="1863" t="s">
        <v>323</v>
      </c>
      <c r="M226" s="342"/>
      <c r="N226" s="335"/>
      <c r="O226" s="1625"/>
      <c r="P226" s="1625"/>
      <c r="AH226" s="1632">
        <v>0</v>
      </c>
    </row>
    <row s="1636" customFormat="1" customHeight="1" ht="18.75" hidden="1">
      <c r="A227" s="1781"/>
      <c r="B227" s="1781"/>
      <c r="C227" s="370" t="s">
        <v>1164</v>
      </c>
      <c r="D227" s="2463"/>
      <c r="E227" s="2205"/>
      <c r="F227" s="2384"/>
      <c r="G227" s="2428"/>
      <c r="H227" s="1501"/>
      <c r="I227" s="652" t="s">
        <v>1163</v>
      </c>
      <c r="J227" s="572"/>
      <c r="K227" s="1501"/>
      <c r="L227" s="215"/>
      <c r="M227" s="342"/>
      <c r="N227" s="335"/>
      <c r="O227" s="1625"/>
      <c r="P227" s="1625"/>
      <c r="AH227" s="1632">
        <v>0</v>
      </c>
    </row>
    <row s="1636" customFormat="1" customHeight="1" ht="0.75" hidden="1">
      <c r="A228" s="1781"/>
      <c r="B228" s="1781"/>
      <c r="C228" s="370" t="s">
        <v>1173</v>
      </c>
      <c r="D228" s="2463"/>
      <c r="E228" s="2205"/>
      <c r="F228" s="2384"/>
      <c r="G228" s="401"/>
      <c r="H228" s="1501"/>
      <c r="I228" s="652"/>
      <c r="J228" s="572"/>
      <c r="K228" s="1501"/>
      <c r="L228" s="215"/>
      <c r="M228" s="342"/>
      <c r="N228" s="335"/>
      <c r="O228" s="1625"/>
      <c r="P228" s="1625"/>
      <c r="AH228" s="1632">
        <v>0</v>
      </c>
    </row>
    <row s="1636" customFormat="1" customHeight="1" ht="18.75" hidden="1">
      <c r="A229" s="1781" t="s">
        <v>198</v>
      </c>
      <c r="B229" s="1781" t="s">
        <v>199</v>
      </c>
      <c r="C229" s="370"/>
      <c r="D229" s="2463"/>
      <c r="E229" s="2205"/>
      <c r="F229" s="2384" t="str">
        <f>INDEX(PT_DIFFERENTIATION_VTAR,MATCH(A229,PT_DIFFERENTIATION_VTAR_ID,0))</f>
        <v>Тарифы на услуги по передаче тепловой энергии</v>
      </c>
      <c r="G229" s="2428" t="str">
        <f>INDEX(PT_DIFFERENTIATION_NTAR,MATCH(B229,PT_DIFFERENTIATION_NTAR_ID,0))</f>
        <v/>
      </c>
      <c r="H229" s="1863"/>
      <c r="I229" s="1740"/>
      <c r="J229" s="1774"/>
      <c r="K229" s="1779"/>
      <c r="L229" s="1863" t="s">
        <v>323</v>
      </c>
      <c r="M229" s="342"/>
      <c r="N229" s="335"/>
      <c r="O229" s="1625"/>
      <c r="P229" s="1625"/>
      <c r="AH229" s="1632">
        <v>0</v>
      </c>
    </row>
    <row s="1636" customFormat="1" customHeight="1" ht="18.75" hidden="1">
      <c r="A230" s="1781"/>
      <c r="B230" s="1781"/>
      <c r="C230" s="370" t="s">
        <v>1164</v>
      </c>
      <c r="D230" s="2463"/>
      <c r="E230" s="2205"/>
      <c r="F230" s="2384"/>
      <c r="G230" s="2428"/>
      <c r="H230" s="1501"/>
      <c r="I230" s="652" t="s">
        <v>1163</v>
      </c>
      <c r="J230" s="572"/>
      <c r="K230" s="1501"/>
      <c r="L230" s="215"/>
      <c r="M230" s="342"/>
      <c r="N230" s="335"/>
      <c r="O230" s="1625"/>
      <c r="P230" s="1625"/>
      <c r="AH230" s="1632">
        <v>0</v>
      </c>
    </row>
    <row s="1636" customFormat="1" customHeight="1" ht="0.75" hidden="1">
      <c r="A231" s="1781"/>
      <c r="B231" s="1781"/>
      <c r="C231" s="370" t="s">
        <v>1173</v>
      </c>
      <c r="D231" s="2463"/>
      <c r="E231" s="2205"/>
      <c r="F231" s="2384"/>
      <c r="G231" s="401"/>
      <c r="H231" s="1501"/>
      <c r="I231" s="652"/>
      <c r="J231" s="572"/>
      <c r="K231" s="1501"/>
      <c r="L231" s="215"/>
      <c r="M231" s="342"/>
      <c r="N231" s="335"/>
      <c r="O231" s="1625"/>
      <c r="P231" s="1625"/>
      <c r="AH231" s="1632">
        <v>0</v>
      </c>
    </row>
    <row s="1636" customFormat="1" customHeight="1" ht="18.75" hidden="1">
      <c r="A232" s="1781" t="s">
        <v>204</v>
      </c>
      <c r="B232" s="1781" t="s">
        <v>205</v>
      </c>
      <c r="C232" s="370"/>
      <c r="D232" s="2463"/>
      <c r="E232" s="2205"/>
      <c r="F232" s="2384" t="str">
        <f>INDEX(PT_DIFFERENTIATION_VTAR,MATCH(A232,PT_DIFFERENTIATION_VTAR_ID,0))</f>
        <v>Тарифы на услуги по передаче теплоносителя</v>
      </c>
      <c r="G232" s="2428" t="str">
        <f>INDEX(PT_DIFFERENTIATION_NTAR,MATCH(B232,PT_DIFFERENTIATION_NTAR_ID,0))</f>
        <v/>
      </c>
      <c r="H232" s="1863"/>
      <c r="I232" s="1740"/>
      <c r="J232" s="1774"/>
      <c r="K232" s="1779"/>
      <c r="L232" s="1863" t="s">
        <v>323</v>
      </c>
      <c r="M232" s="342"/>
      <c r="N232" s="335"/>
      <c r="O232" s="1625"/>
      <c r="P232" s="1625"/>
      <c r="AH232" s="1632">
        <v>0</v>
      </c>
    </row>
    <row s="1636" customFormat="1" customHeight="1" ht="18.75" hidden="1">
      <c r="A233" s="1781"/>
      <c r="B233" s="1781"/>
      <c r="C233" s="370" t="s">
        <v>1164</v>
      </c>
      <c r="D233" s="2463"/>
      <c r="E233" s="2205"/>
      <c r="F233" s="2384"/>
      <c r="G233" s="2428"/>
      <c r="H233" s="1501"/>
      <c r="I233" s="652" t="s">
        <v>1163</v>
      </c>
      <c r="J233" s="572"/>
      <c r="K233" s="1501"/>
      <c r="L233" s="215"/>
      <c r="M233" s="342"/>
      <c r="N233" s="335"/>
      <c r="O233" s="1625"/>
      <c r="P233" s="1625"/>
      <c r="AH233" s="1632">
        <v>0</v>
      </c>
    </row>
    <row s="1636" customFormat="1" customHeight="1" ht="0.75" hidden="1">
      <c r="A234" s="1781"/>
      <c r="B234" s="1781"/>
      <c r="C234" s="370" t="s">
        <v>1173</v>
      </c>
      <c r="D234" s="2463"/>
      <c r="E234" s="2205"/>
      <c r="F234" s="2384"/>
      <c r="G234" s="401"/>
      <c r="H234" s="1501"/>
      <c r="I234" s="652"/>
      <c r="J234" s="572"/>
      <c r="K234" s="1501"/>
      <c r="L234" s="215"/>
      <c r="M234" s="342"/>
      <c r="N234" s="335"/>
      <c r="O234" s="1625"/>
      <c r="P234" s="1625"/>
      <c r="AH234" s="1632">
        <v>0</v>
      </c>
    </row>
    <row s="1636" customFormat="1" customHeight="1" ht="18.75" hidden="1">
      <c r="A235" s="1781" t="s">
        <v>210</v>
      </c>
      <c r="B235" s="1781" t="s">
        <v>211</v>
      </c>
      <c r="C235" s="370"/>
      <c r="D235" s="2463"/>
      <c r="E235" s="2205"/>
      <c r="F235" s="2384" t="str">
        <f>INDEX(PT_DIFFERENTIATION_VTAR,MATCH(A235,PT_DIFFERENTIATION_VTAR_ID,0))</f>
        <v>Плата за услуги по поддержанию резервной тепловой мощности при отсутствии потребления тепловой энергии</v>
      </c>
      <c r="G235" s="2428" t="str">
        <f>INDEX(PT_DIFFERENTIATION_NTAR,MATCH(B235,PT_DIFFERENTIATION_NTAR_ID,0))</f>
        <v/>
      </c>
      <c r="H235" s="1863"/>
      <c r="I235" s="1740"/>
      <c r="J235" s="1774"/>
      <c r="K235" s="1779"/>
      <c r="L235" s="1863" t="s">
        <v>323</v>
      </c>
      <c r="M235" s="342"/>
      <c r="N235" s="335"/>
      <c r="O235" s="1625"/>
      <c r="P235" s="1625"/>
      <c r="AH235" s="1632">
        <v>0</v>
      </c>
    </row>
    <row s="1636" customFormat="1" customHeight="1" ht="18.75" hidden="1">
      <c r="A236" s="1781"/>
      <c r="B236" s="1781"/>
      <c r="C236" s="370" t="s">
        <v>1164</v>
      </c>
      <c r="D236" s="2463"/>
      <c r="E236" s="2205"/>
      <c r="F236" s="2384"/>
      <c r="G236" s="2428"/>
      <c r="H236" s="1501"/>
      <c r="I236" s="652" t="s">
        <v>1163</v>
      </c>
      <c r="J236" s="572"/>
      <c r="K236" s="1501"/>
      <c r="L236" s="215"/>
      <c r="M236" s="342"/>
      <c r="N236" s="335"/>
      <c r="O236" s="1625"/>
      <c r="P236" s="1625"/>
      <c r="AH236" s="1632">
        <v>0</v>
      </c>
    </row>
    <row s="1636" customFormat="1" customHeight="1" ht="0.75" hidden="1">
      <c r="A237" s="1781"/>
      <c r="B237" s="1781"/>
      <c r="C237" s="370" t="s">
        <v>1173</v>
      </c>
      <c r="D237" s="2463"/>
      <c r="E237" s="2205"/>
      <c r="F237" s="2384"/>
      <c r="G237" s="401"/>
      <c r="H237" s="1501"/>
      <c r="I237" s="652"/>
      <c r="J237" s="572"/>
      <c r="K237" s="1501"/>
      <c r="L237" s="215"/>
      <c r="M237" s="342"/>
      <c r="N237" s="335"/>
      <c r="O237" s="1625"/>
      <c r="P237" s="1625"/>
      <c r="AH237" s="1632">
        <v>0</v>
      </c>
    </row>
    <row s="1636" customFormat="1" customHeight="1" ht="18.75" hidden="1">
      <c r="A238" s="1781" t="s">
        <v>216</v>
      </c>
      <c r="B238" s="1781" t="s">
        <v>217</v>
      </c>
      <c r="C238" s="370"/>
      <c r="D238" s="2463"/>
      <c r="E238" s="2205"/>
      <c r="F238" s="2384" t="str">
        <f>INDEX(PT_DIFFERENTIATION_VTAR,MATCH(A238,PT_DIFFERENTIATION_VTAR_ID,0))</f>
        <v>Плата за подключение (технологическое присоединение) к системе теплоснабжения</v>
      </c>
      <c r="G238" s="2428" t="str">
        <f>INDEX(PT_DIFFERENTIATION_NTAR,MATCH(B238,PT_DIFFERENTIATION_NTAR_ID,0))</f>
        <v/>
      </c>
      <c r="H238" s="1863"/>
      <c r="I238" s="1740"/>
      <c r="J238" s="1774"/>
      <c r="K238" s="1779"/>
      <c r="L238" s="1863" t="s">
        <v>323</v>
      </c>
      <c r="M238" s="342"/>
      <c r="N238" s="335"/>
      <c r="O238" s="1625"/>
      <c r="P238" s="1625"/>
      <c r="AH238" s="1632">
        <v>0</v>
      </c>
    </row>
    <row s="1636" customFormat="1" customHeight="1" ht="18.75" hidden="1">
      <c r="A239" s="1781"/>
      <c r="B239" s="1781"/>
      <c r="C239" s="370" t="s">
        <v>1164</v>
      </c>
      <c r="D239" s="2463"/>
      <c r="E239" s="2205"/>
      <c r="F239" s="2384"/>
      <c r="G239" s="2428"/>
      <c r="H239" s="1501"/>
      <c r="I239" s="652" t="s">
        <v>1163</v>
      </c>
      <c r="J239" s="572"/>
      <c r="K239" s="1501"/>
      <c r="L239" s="215"/>
      <c r="M239" s="342"/>
      <c r="N239" s="335"/>
      <c r="O239" s="1625"/>
      <c r="P239" s="1625"/>
      <c r="AH239" s="1632">
        <v>0</v>
      </c>
    </row>
    <row s="1636" customFormat="1" customHeight="1" ht="0.75" hidden="1">
      <c r="A240" s="1781"/>
      <c r="B240" s="1781"/>
      <c r="C240" s="370" t="s">
        <v>1173</v>
      </c>
      <c r="D240" s="2463"/>
      <c r="E240" s="2205"/>
      <c r="F240" s="2384"/>
      <c r="G240" s="401"/>
      <c r="H240" s="1501"/>
      <c r="I240" s="652"/>
      <c r="J240" s="572"/>
      <c r="K240" s="1501"/>
      <c r="L240" s="215"/>
      <c r="M240" s="342"/>
      <c r="N240" s="335"/>
      <c r="O240" s="1625"/>
      <c r="P240" s="1625"/>
      <c r="AH240" s="1632">
        <v>0</v>
      </c>
    </row>
    <row s="1636" customFormat="1" customHeight="1" ht="18.75" hidden="1">
      <c r="A241" s="1781" t="s">
        <v>222</v>
      </c>
      <c r="B241" s="1781" t="s">
        <v>223</v>
      </c>
      <c r="C241" s="370"/>
      <c r="D241" s="2463"/>
      <c r="E241" s="2205"/>
      <c r="F241" s="2384" t="str">
        <f>INDEX(PT_DIFFERENTIATION_VTAR,MATCH(A241,PT_DIFFERENTIATION_VTAR_ID,0))</f>
        <v>Плата за подключение (технологическое присоединение) к системе теплоснабжения (индивидуальная)</v>
      </c>
      <c r="G241" s="2428" t="str">
        <f>INDEX(PT_DIFFERENTIATION_NTAR,MATCH(B241,PT_DIFFERENTIATION_NTAR_ID,0))</f>
        <v/>
      </c>
      <c r="H241" s="1990"/>
      <c r="I241" s="1740"/>
      <c r="J241" s="1774"/>
      <c r="K241" s="1779"/>
      <c r="L241" s="1990" t="s">
        <v>323</v>
      </c>
      <c r="M241" s="342"/>
      <c r="N241" s="335"/>
      <c r="O241" s="1625"/>
      <c r="P241" s="1625"/>
      <c r="AH241" s="1632">
        <v>0</v>
      </c>
    </row>
    <row s="1636" customFormat="1" customHeight="1" ht="18.75" hidden="1">
      <c r="A242" s="1781"/>
      <c r="B242" s="1781"/>
      <c r="C242" s="370" t="s">
        <v>1164</v>
      </c>
      <c r="D242" s="2463"/>
      <c r="E242" s="2205"/>
      <c r="F242" s="2384"/>
      <c r="G242" s="2428"/>
      <c r="H242" s="1501"/>
      <c r="I242" s="652" t="s">
        <v>1163</v>
      </c>
      <c r="J242" s="572"/>
      <c r="K242" s="1501"/>
      <c r="L242" s="215"/>
      <c r="M242" s="342"/>
      <c r="N242" s="335"/>
      <c r="O242" s="1625"/>
      <c r="P242" s="1625"/>
      <c r="AH242" s="1632">
        <v>0</v>
      </c>
    </row>
    <row s="1636" customFormat="1" customHeight="1" ht="0.75" hidden="1">
      <c r="A243" s="1781"/>
      <c r="B243" s="1781"/>
      <c r="C243" s="370" t="s">
        <v>1173</v>
      </c>
      <c r="D243" s="2463"/>
      <c r="E243" s="2205"/>
      <c r="F243" s="2384"/>
      <c r="G243" s="401"/>
      <c r="H243" s="1501"/>
      <c r="I243" s="652"/>
      <c r="J243" s="572"/>
      <c r="K243" s="1501"/>
      <c r="L243" s="215"/>
      <c r="M243" s="342"/>
      <c r="N243" s="335"/>
      <c r="O243" s="1625"/>
      <c r="P243" s="1625"/>
      <c r="AH243" s="1632">
        <v>0</v>
      </c>
    </row>
    <row s="1636" customFormat="1" customHeight="1" ht="18.75" hidden="1">
      <c r="A244" s="1781" t="s">
        <v>242</v>
      </c>
      <c r="B244" s="1781" t="s">
        <v>243</v>
      </c>
      <c r="C244" s="370"/>
      <c r="D244" s="2463"/>
      <c r="E244" s="2205"/>
      <c r="F244" s="2384" t="str">
        <f>INDEX(PT_DIFFERENTIATION_VTAR,MATCH(A244,PT_DIFFERENTIATION_VTAR_ID,0))</f>
        <v>Тариф на питьевую воду (питьевое водоснабжение)</v>
      </c>
      <c r="G244" s="2428" t="str">
        <f>INDEX(PT_DIFFERENTIATION_NTAR,MATCH(B244,PT_DIFFERENTIATION_NTAR_ID,0))</f>
        <v/>
      </c>
      <c r="H244" s="1863"/>
      <c r="I244" s="1740"/>
      <c r="J244" s="1774"/>
      <c r="K244" s="1779"/>
      <c r="L244" s="1863" t="s">
        <v>323</v>
      </c>
      <c r="M244" s="342"/>
      <c r="N244" s="335"/>
      <c r="O244" s="1625"/>
      <c r="P244" s="1625"/>
      <c r="AH244" s="1632">
        <v>0</v>
      </c>
    </row>
    <row s="1636" customFormat="1" customHeight="1" ht="18.75" hidden="1">
      <c r="A245" s="1781"/>
      <c r="B245" s="1781"/>
      <c r="C245" s="370" t="s">
        <v>1164</v>
      </c>
      <c r="D245" s="2463"/>
      <c r="E245" s="2205"/>
      <c r="F245" s="2384"/>
      <c r="G245" s="2428"/>
      <c r="H245" s="1501"/>
      <c r="I245" s="652" t="s">
        <v>1163</v>
      </c>
      <c r="J245" s="572"/>
      <c r="K245" s="1501"/>
      <c r="L245" s="215"/>
      <c r="M245" s="342"/>
      <c r="N245" s="335"/>
      <c r="O245" s="1625"/>
      <c r="P245" s="1625"/>
      <c r="AH245" s="1632">
        <v>0</v>
      </c>
    </row>
    <row s="1636" customFormat="1" customHeight="1" ht="0.75" hidden="1">
      <c r="A246" s="1781"/>
      <c r="B246" s="1781"/>
      <c r="C246" s="370" t="s">
        <v>1173</v>
      </c>
      <c r="D246" s="2463"/>
      <c r="E246" s="2205"/>
      <c r="F246" s="2384"/>
      <c r="G246" s="401"/>
      <c r="H246" s="1501"/>
      <c r="I246" s="652"/>
      <c r="J246" s="572"/>
      <c r="K246" s="1501"/>
      <c r="L246" s="215"/>
      <c r="M246" s="342"/>
      <c r="N246" s="335"/>
      <c r="O246" s="1625"/>
      <c r="P246" s="1625"/>
      <c r="AH246" s="1632">
        <v>0</v>
      </c>
    </row>
    <row s="1636" customFormat="1" customHeight="1" ht="18.75" hidden="1">
      <c r="A247" s="1781" t="s">
        <v>247</v>
      </c>
      <c r="B247" s="1781" t="s">
        <v>248</v>
      </c>
      <c r="C247" s="370"/>
      <c r="D247" s="2463"/>
      <c r="E247" s="2205"/>
      <c r="F247" s="2384" t="str">
        <f>INDEX(PT_DIFFERENTIATION_VTAR,MATCH(A247,PT_DIFFERENTIATION_VTAR_ID,0))</f>
        <v>Тариф на техническую воду</v>
      </c>
      <c r="G247" s="2428" t="str">
        <f>INDEX(PT_DIFFERENTIATION_NTAR,MATCH(B247,PT_DIFFERENTIATION_NTAR_ID,0))</f>
        <v/>
      </c>
      <c r="H247" s="1863"/>
      <c r="I247" s="1740"/>
      <c r="J247" s="1774"/>
      <c r="K247" s="1779"/>
      <c r="L247" s="1863" t="s">
        <v>323</v>
      </c>
      <c r="M247" s="342"/>
      <c r="N247" s="335"/>
      <c r="O247" s="1625"/>
      <c r="P247" s="1625"/>
      <c r="AH247" s="1632">
        <v>0</v>
      </c>
    </row>
    <row s="1636" customFormat="1" customHeight="1" ht="18.75" hidden="1">
      <c r="A248" s="1781"/>
      <c r="B248" s="1781"/>
      <c r="C248" s="370" t="s">
        <v>1164</v>
      </c>
      <c r="D248" s="2463"/>
      <c r="E248" s="2205"/>
      <c r="F248" s="2384"/>
      <c r="G248" s="2428"/>
      <c r="H248" s="1501"/>
      <c r="I248" s="652" t="s">
        <v>1163</v>
      </c>
      <c r="J248" s="572"/>
      <c r="K248" s="1501"/>
      <c r="L248" s="215"/>
      <c r="M248" s="342"/>
      <c r="N248" s="335"/>
      <c r="O248" s="1625"/>
      <c r="P248" s="1625"/>
      <c r="AH248" s="1632">
        <v>0</v>
      </c>
    </row>
    <row s="1636" customFormat="1" customHeight="1" ht="0.75" hidden="1">
      <c r="A249" s="1781"/>
      <c r="B249" s="1781"/>
      <c r="C249" s="370" t="s">
        <v>1173</v>
      </c>
      <c r="D249" s="2463"/>
      <c r="E249" s="2205"/>
      <c r="F249" s="2384"/>
      <c r="G249" s="401"/>
      <c r="H249" s="1501"/>
      <c r="I249" s="652"/>
      <c r="J249" s="572"/>
      <c r="K249" s="1501"/>
      <c r="L249" s="215"/>
      <c r="M249" s="342"/>
      <c r="N249" s="335"/>
      <c r="O249" s="1625"/>
      <c r="P249" s="1625"/>
      <c r="AH249" s="1632">
        <v>0</v>
      </c>
    </row>
    <row s="1636" customFormat="1" customHeight="1" ht="18.75" hidden="1">
      <c r="A250" s="1781" t="s">
        <v>252</v>
      </c>
      <c r="B250" s="1781" t="s">
        <v>253</v>
      </c>
      <c r="C250" s="370"/>
      <c r="D250" s="2463"/>
      <c r="E250" s="2205"/>
      <c r="F250" s="2384" t="str">
        <f>INDEX(PT_DIFFERENTIATION_VTAR,MATCH(A250,PT_DIFFERENTIATION_VTAR_ID,0))</f>
        <v>Тариф на транспортировку воды</v>
      </c>
      <c r="G250" s="2428" t="str">
        <f>INDEX(PT_DIFFERENTIATION_NTAR,MATCH(B250,PT_DIFFERENTIATION_NTAR_ID,0))</f>
        <v/>
      </c>
      <c r="H250" s="1863"/>
      <c r="I250" s="1740"/>
      <c r="J250" s="1774"/>
      <c r="K250" s="1779"/>
      <c r="L250" s="1863" t="s">
        <v>323</v>
      </c>
      <c r="M250" s="342"/>
      <c r="N250" s="335"/>
      <c r="O250" s="1625"/>
      <c r="P250" s="1625"/>
      <c r="AH250" s="1632">
        <v>0</v>
      </c>
    </row>
    <row s="1636" customFormat="1" customHeight="1" ht="18.75" hidden="1">
      <c r="A251" s="1781"/>
      <c r="B251" s="1781"/>
      <c r="C251" s="370" t="s">
        <v>1164</v>
      </c>
      <c r="D251" s="2463"/>
      <c r="E251" s="2205"/>
      <c r="F251" s="2384"/>
      <c r="G251" s="2428"/>
      <c r="H251" s="1501"/>
      <c r="I251" s="652" t="s">
        <v>1163</v>
      </c>
      <c r="J251" s="572"/>
      <c r="K251" s="1501"/>
      <c r="L251" s="215"/>
      <c r="M251" s="342"/>
      <c r="N251" s="335"/>
      <c r="O251" s="1625"/>
      <c r="P251" s="1625"/>
      <c r="AH251" s="1632">
        <v>0</v>
      </c>
    </row>
    <row s="1636" customFormat="1" customHeight="1" ht="0.75" hidden="1">
      <c r="A252" s="1781"/>
      <c r="B252" s="1781"/>
      <c r="C252" s="370" t="s">
        <v>1173</v>
      </c>
      <c r="D252" s="2463"/>
      <c r="E252" s="2205"/>
      <c r="F252" s="2384"/>
      <c r="G252" s="401"/>
      <c r="H252" s="1501"/>
      <c r="I252" s="652"/>
      <c r="J252" s="572"/>
      <c r="K252" s="1501"/>
      <c r="L252" s="215"/>
      <c r="M252" s="342"/>
      <c r="N252" s="335"/>
      <c r="O252" s="1625"/>
      <c r="P252" s="1625"/>
      <c r="AH252" s="1632">
        <v>0</v>
      </c>
    </row>
    <row s="1636" customFormat="1" customHeight="1" ht="18.75" hidden="1">
      <c r="A253" s="1781" t="s">
        <v>257</v>
      </c>
      <c r="B253" s="1781" t="s">
        <v>258</v>
      </c>
      <c r="C253" s="370"/>
      <c r="D253" s="2463"/>
      <c r="E253" s="2205"/>
      <c r="F253" s="2384" t="str">
        <f>INDEX(PT_DIFFERENTIATION_VTAR,MATCH(A253,PT_DIFFERENTIATION_VTAR_ID,0))</f>
        <v>Тариф на подвоз воды</v>
      </c>
      <c r="G253" s="2428" t="str">
        <f>INDEX(PT_DIFFERENTIATION_NTAR,MATCH(B253,PT_DIFFERENTIATION_NTAR_ID,0))</f>
        <v/>
      </c>
      <c r="H253" s="1863"/>
      <c r="I253" s="1740"/>
      <c r="J253" s="1774"/>
      <c r="K253" s="1779"/>
      <c r="L253" s="1863" t="s">
        <v>323</v>
      </c>
      <c r="M253" s="342"/>
      <c r="N253" s="335"/>
      <c r="O253" s="1625"/>
      <c r="P253" s="1625"/>
      <c r="AH253" s="1632">
        <v>0</v>
      </c>
    </row>
    <row s="1636" customFormat="1" customHeight="1" ht="18.75" hidden="1">
      <c r="A254" s="1781"/>
      <c r="B254" s="1781"/>
      <c r="C254" s="370" t="s">
        <v>1164</v>
      </c>
      <c r="D254" s="2463"/>
      <c r="E254" s="2205"/>
      <c r="F254" s="2384"/>
      <c r="G254" s="2428"/>
      <c r="H254" s="1501"/>
      <c r="I254" s="652" t="s">
        <v>1163</v>
      </c>
      <c r="J254" s="572"/>
      <c r="K254" s="1501"/>
      <c r="L254" s="215"/>
      <c r="M254" s="342"/>
      <c r="N254" s="335"/>
      <c r="O254" s="1625"/>
      <c r="P254" s="1625"/>
      <c r="AH254" s="1632">
        <v>0</v>
      </c>
    </row>
    <row s="1636" customFormat="1" customHeight="1" ht="0.75" hidden="1">
      <c r="A255" s="1781"/>
      <c r="B255" s="1781"/>
      <c r="C255" s="370" t="s">
        <v>1173</v>
      </c>
      <c r="D255" s="2463"/>
      <c r="E255" s="2205"/>
      <c r="F255" s="2384"/>
      <c r="G255" s="401"/>
      <c r="H255" s="1501"/>
      <c r="I255" s="652"/>
      <c r="J255" s="572"/>
      <c r="K255" s="1501"/>
      <c r="L255" s="215"/>
      <c r="M255" s="342"/>
      <c r="N255" s="335"/>
      <c r="O255" s="1625"/>
      <c r="P255" s="1625"/>
      <c r="AH255" s="1632">
        <v>0</v>
      </c>
    </row>
    <row s="1636" customFormat="1" customHeight="1" ht="18.75" hidden="1">
      <c r="A256" s="1781" t="s">
        <v>262</v>
      </c>
      <c r="B256" s="1781" t="s">
        <v>263</v>
      </c>
      <c r="C256" s="370"/>
      <c r="D256" s="2463"/>
      <c r="E256" s="2205"/>
      <c r="F256" s="2384" t="str">
        <f>INDEX(PT_DIFFERENTIATION_VTAR,MATCH(A256,PT_DIFFERENTIATION_VTAR_ID,0))</f>
        <v>Тариф на подключение (технологическое присоединение) к централизованной системе холодного водоснабжения</v>
      </c>
      <c r="G256" s="2428" t="str">
        <f>INDEX(PT_DIFFERENTIATION_NTAR,MATCH(B256,PT_DIFFERENTIATION_NTAR_ID,0))</f>
        <v/>
      </c>
      <c r="H256" s="1863"/>
      <c r="I256" s="1740"/>
      <c r="J256" s="1774"/>
      <c r="K256" s="1779"/>
      <c r="L256" s="1863" t="s">
        <v>323</v>
      </c>
      <c r="M256" s="342"/>
      <c r="N256" s="335"/>
      <c r="O256" s="1625"/>
      <c r="P256" s="1625"/>
      <c r="AH256" s="1632">
        <v>0</v>
      </c>
    </row>
    <row s="1636" customFormat="1" customHeight="1" ht="18.75" hidden="1">
      <c r="A257" s="1781"/>
      <c r="B257" s="1781"/>
      <c r="C257" s="370" t="s">
        <v>1164</v>
      </c>
      <c r="D257" s="2463"/>
      <c r="E257" s="2205"/>
      <c r="F257" s="2384"/>
      <c r="G257" s="2428"/>
      <c r="H257" s="1501"/>
      <c r="I257" s="652" t="s">
        <v>1163</v>
      </c>
      <c r="J257" s="572"/>
      <c r="K257" s="1501"/>
      <c r="L257" s="215"/>
      <c r="M257" s="342"/>
      <c r="N257" s="335"/>
      <c r="O257" s="1625"/>
      <c r="P257" s="1625"/>
      <c r="AH257" s="1632">
        <v>0</v>
      </c>
    </row>
    <row s="1636" customFormat="1" customHeight="1" ht="0.75" hidden="1">
      <c r="A258" s="1781"/>
      <c r="B258" s="1781"/>
      <c r="C258" s="370" t="s">
        <v>1173</v>
      </c>
      <c r="D258" s="2463"/>
      <c r="E258" s="2205"/>
      <c r="F258" s="2384"/>
      <c r="G258" s="401"/>
      <c r="H258" s="1501"/>
      <c r="I258" s="652"/>
      <c r="J258" s="572"/>
      <c r="K258" s="1501"/>
      <c r="L258" s="215"/>
      <c r="M258" s="342"/>
      <c r="N258" s="335"/>
      <c r="O258" s="1625"/>
      <c r="P258" s="1625"/>
      <c r="AH258" s="1632">
        <v>0</v>
      </c>
    </row>
    <row s="1636" customFormat="1" customHeight="1" ht="18.75" hidden="1">
      <c r="A259" s="1781" t="s">
        <v>267</v>
      </c>
      <c r="B259" s="1781" t="s">
        <v>268</v>
      </c>
      <c r="C259" s="370"/>
      <c r="D259" s="2463"/>
      <c r="E259" s="2205"/>
      <c r="F259" s="2384" t="str">
        <f>INDEX(PT_DIFFERENTIATION_VTAR,MATCH(A259,PT_DIFFERENTIATION_VTAR_ID,0))</f>
        <v>Тариф на горячую воду (горячее водоснабжение)</v>
      </c>
      <c r="G259" s="2428" t="str">
        <f>INDEX(PT_DIFFERENTIATION_NTAR,MATCH(B259,PT_DIFFERENTIATION_NTAR_ID,0))</f>
        <v/>
      </c>
      <c r="H259" s="1863"/>
      <c r="I259" s="1740"/>
      <c r="J259" s="1774"/>
      <c r="K259" s="1779"/>
      <c r="L259" s="1863" t="s">
        <v>323</v>
      </c>
      <c r="M259" s="342"/>
      <c r="N259" s="335"/>
      <c r="O259" s="1625"/>
      <c r="P259" s="1625"/>
      <c r="AH259" s="1632">
        <v>0</v>
      </c>
    </row>
    <row s="1636" customFormat="1" customHeight="1" ht="18.75" hidden="1">
      <c r="A260" s="1781"/>
      <c r="B260" s="1781"/>
      <c r="C260" s="370" t="s">
        <v>1164</v>
      </c>
      <c r="D260" s="2463"/>
      <c r="E260" s="2205"/>
      <c r="F260" s="2384"/>
      <c r="G260" s="2428"/>
      <c r="H260" s="1501"/>
      <c r="I260" s="652" t="s">
        <v>1163</v>
      </c>
      <c r="J260" s="572"/>
      <c r="K260" s="1501"/>
      <c r="L260" s="215"/>
      <c r="M260" s="342"/>
      <c r="N260" s="335"/>
      <c r="O260" s="1625"/>
      <c r="P260" s="1625"/>
      <c r="AH260" s="1632">
        <v>0</v>
      </c>
    </row>
    <row s="1636" customFormat="1" customHeight="1" ht="0.75" hidden="1">
      <c r="A261" s="1781"/>
      <c r="B261" s="1781"/>
      <c r="C261" s="370" t="s">
        <v>1173</v>
      </c>
      <c r="D261" s="2463"/>
      <c r="E261" s="2205"/>
      <c r="F261" s="2384"/>
      <c r="G261" s="401"/>
      <c r="H261" s="1501"/>
      <c r="I261" s="652"/>
      <c r="J261" s="572"/>
      <c r="K261" s="1501"/>
      <c r="L261" s="215"/>
      <c r="M261" s="342"/>
      <c r="N261" s="335"/>
      <c r="O261" s="1625"/>
      <c r="P261" s="1625"/>
      <c r="AH261" s="1632">
        <v>0</v>
      </c>
    </row>
    <row s="1636" customFormat="1" customHeight="1" ht="18.75" hidden="1">
      <c r="A262" s="1781" t="s">
        <v>272</v>
      </c>
      <c r="B262" s="1781" t="s">
        <v>273</v>
      </c>
      <c r="C262" s="370"/>
      <c r="D262" s="2463"/>
      <c r="E262" s="2205"/>
      <c r="F262" s="2384" t="str">
        <f>INDEX(PT_DIFFERENTIATION_VTAR,MATCH(A262,PT_DIFFERENTIATION_VTAR_ID,0))</f>
        <v>Тариф на транспортировку горячей воды</v>
      </c>
      <c r="G262" s="2428" t="str">
        <f>INDEX(PT_DIFFERENTIATION_NTAR,MATCH(B262,PT_DIFFERENTIATION_NTAR_ID,0))</f>
        <v/>
      </c>
      <c r="H262" s="1863"/>
      <c r="I262" s="1740"/>
      <c r="J262" s="1774"/>
      <c r="K262" s="1779"/>
      <c r="L262" s="1863" t="s">
        <v>323</v>
      </c>
      <c r="M262" s="342"/>
      <c r="N262" s="335"/>
      <c r="O262" s="1625"/>
      <c r="P262" s="1625"/>
      <c r="AH262" s="1632">
        <v>0</v>
      </c>
    </row>
    <row s="1636" customFormat="1" customHeight="1" ht="18.75" hidden="1">
      <c r="A263" s="1781"/>
      <c r="B263" s="1781"/>
      <c r="C263" s="370" t="s">
        <v>1164</v>
      </c>
      <c r="D263" s="2463"/>
      <c r="E263" s="2205"/>
      <c r="F263" s="2384"/>
      <c r="G263" s="2428"/>
      <c r="H263" s="1501"/>
      <c r="I263" s="652" t="s">
        <v>1163</v>
      </c>
      <c r="J263" s="572"/>
      <c r="K263" s="1501"/>
      <c r="L263" s="215"/>
      <c r="M263" s="342"/>
      <c r="N263" s="335"/>
      <c r="O263" s="1625"/>
      <c r="P263" s="1625"/>
      <c r="AH263" s="1632">
        <v>0</v>
      </c>
    </row>
    <row s="1636" customFormat="1" customHeight="1" ht="0.75" hidden="1">
      <c r="A264" s="1781"/>
      <c r="B264" s="1781"/>
      <c r="C264" s="370" t="s">
        <v>1173</v>
      </c>
      <c r="D264" s="2463"/>
      <c r="E264" s="2205"/>
      <c r="F264" s="2384"/>
      <c r="G264" s="401"/>
      <c r="H264" s="1501"/>
      <c r="I264" s="652"/>
      <c r="J264" s="572"/>
      <c r="K264" s="1501"/>
      <c r="L264" s="215"/>
      <c r="M264" s="342"/>
      <c r="N264" s="335"/>
      <c r="O264" s="1625"/>
      <c r="P264" s="1625"/>
      <c r="AH264" s="1632">
        <v>0</v>
      </c>
    </row>
    <row s="1636" customFormat="1" customHeight="1" ht="18.75" hidden="1">
      <c r="A265" s="1781" t="s">
        <v>277</v>
      </c>
      <c r="B265" s="1781" t="s">
        <v>278</v>
      </c>
      <c r="C265" s="370"/>
      <c r="D265" s="2463"/>
      <c r="E265" s="2205"/>
      <c r="F265" s="2384" t="str">
        <f>INDEX(PT_DIFFERENTIATION_VTAR,MATCH(A265,PT_DIFFERENTIATION_VTAR_ID,0))</f>
        <v>Тариф на подключение (технологическое присоединение) к централизованной системе горячего водоснабжения</v>
      </c>
      <c r="G265" s="2428" t="str">
        <f>INDEX(PT_DIFFERENTIATION_NTAR,MATCH(B265,PT_DIFFERENTIATION_NTAR_ID,0))</f>
        <v/>
      </c>
      <c r="H265" s="1863"/>
      <c r="I265" s="1740"/>
      <c r="J265" s="1774"/>
      <c r="K265" s="1779"/>
      <c r="L265" s="1863" t="s">
        <v>323</v>
      </c>
      <c r="M265" s="342"/>
      <c r="N265" s="335"/>
      <c r="O265" s="1625"/>
      <c r="P265" s="1625"/>
      <c r="AH265" s="1632">
        <v>0</v>
      </c>
    </row>
    <row s="1636" customFormat="1" customHeight="1" ht="18.75" hidden="1">
      <c r="A266" s="1781"/>
      <c r="B266" s="1781"/>
      <c r="C266" s="370" t="s">
        <v>1164</v>
      </c>
      <c r="D266" s="2463"/>
      <c r="E266" s="2205"/>
      <c r="F266" s="2384"/>
      <c r="G266" s="2428"/>
      <c r="H266" s="1501"/>
      <c r="I266" s="652" t="s">
        <v>1163</v>
      </c>
      <c r="J266" s="572"/>
      <c r="K266" s="1501"/>
      <c r="L266" s="215"/>
      <c r="M266" s="342"/>
      <c r="N266" s="335"/>
      <c r="O266" s="1625"/>
      <c r="P266" s="1625"/>
      <c r="AH266" s="1632">
        <v>0</v>
      </c>
    </row>
    <row s="1636" customFormat="1" customHeight="1" ht="0.75" hidden="1">
      <c r="A267" s="1781"/>
      <c r="B267" s="1781"/>
      <c r="C267" s="370" t="s">
        <v>1173</v>
      </c>
      <c r="D267" s="2463"/>
      <c r="E267" s="2205"/>
      <c r="F267" s="2384"/>
      <c r="G267" s="401"/>
      <c r="H267" s="1501"/>
      <c r="I267" s="652"/>
      <c r="J267" s="572"/>
      <c r="K267" s="1501"/>
      <c r="L267" s="215"/>
      <c r="M267" s="342"/>
      <c r="N267" s="335"/>
      <c r="O267" s="1625"/>
      <c r="P267" s="1625"/>
      <c r="AH267" s="1632">
        <v>0</v>
      </c>
    </row>
    <row s="1636" customFormat="1" customHeight="1" ht="18.75" hidden="1">
      <c r="A268" s="1781" t="s">
        <v>282</v>
      </c>
      <c r="B268" s="1781" t="s">
        <v>283</v>
      </c>
      <c r="C268" s="370"/>
      <c r="D268" s="2463"/>
      <c r="E268" s="2205"/>
      <c r="F268" s="2384" t="str">
        <f>INDEX(PT_DIFFERENTIATION_VTAR,MATCH(A268,PT_DIFFERENTIATION_VTAR_ID,0))</f>
        <v>Тариф на водоотведение</v>
      </c>
      <c r="G268" s="2428" t="str">
        <f>INDEX(PT_DIFFERENTIATION_NTAR,MATCH(B268,PT_DIFFERENTIATION_NTAR_ID,0))</f>
        <v/>
      </c>
      <c r="H268" s="1863"/>
      <c r="I268" s="1740"/>
      <c r="J268" s="1774"/>
      <c r="K268" s="1779"/>
      <c r="L268" s="1863" t="s">
        <v>323</v>
      </c>
      <c r="M268" s="342"/>
      <c r="N268" s="335"/>
      <c r="O268" s="1625"/>
      <c r="P268" s="1625"/>
      <c r="AH268" s="1632">
        <v>0</v>
      </c>
    </row>
    <row s="1636" customFormat="1" customHeight="1" ht="18.75" hidden="1">
      <c r="A269" s="1781"/>
      <c r="B269" s="1781"/>
      <c r="C269" s="370" t="s">
        <v>1164</v>
      </c>
      <c r="D269" s="2463"/>
      <c r="E269" s="2205"/>
      <c r="F269" s="2384"/>
      <c r="G269" s="2428"/>
      <c r="H269" s="1501"/>
      <c r="I269" s="652" t="s">
        <v>1163</v>
      </c>
      <c r="J269" s="572"/>
      <c r="K269" s="1501"/>
      <c r="L269" s="215"/>
      <c r="M269" s="342"/>
      <c r="N269" s="335"/>
      <c r="O269" s="1625"/>
      <c r="P269" s="1625"/>
      <c r="AH269" s="1632">
        <v>0</v>
      </c>
    </row>
    <row s="1636" customFormat="1" customHeight="1" ht="0.75" hidden="1">
      <c r="A270" s="1781"/>
      <c r="B270" s="1781"/>
      <c r="C270" s="370" t="s">
        <v>1173</v>
      </c>
      <c r="D270" s="2463"/>
      <c r="E270" s="2205"/>
      <c r="F270" s="2384"/>
      <c r="G270" s="401"/>
      <c r="H270" s="1501"/>
      <c r="I270" s="652"/>
      <c r="J270" s="572"/>
      <c r="K270" s="1501"/>
      <c r="L270" s="215"/>
      <c r="M270" s="342"/>
      <c r="N270" s="335"/>
      <c r="O270" s="1625"/>
      <c r="P270" s="1625"/>
      <c r="AH270" s="1632">
        <v>0</v>
      </c>
    </row>
    <row s="1636" customFormat="1" customHeight="1" ht="18.75" hidden="1">
      <c r="A271" s="1781" t="s">
        <v>287</v>
      </c>
      <c r="B271" s="1781" t="s">
        <v>288</v>
      </c>
      <c r="C271" s="370"/>
      <c r="D271" s="2463"/>
      <c r="E271" s="2205"/>
      <c r="F271" s="2384" t="str">
        <f>INDEX(PT_DIFFERENTIATION_VTAR,MATCH(A271,PT_DIFFERENTIATION_VTAR_ID,0))</f>
        <v>Тариф на транспортировку сточных вод</v>
      </c>
      <c r="G271" s="2428" t="str">
        <f>INDEX(PT_DIFFERENTIATION_NTAR,MATCH(B271,PT_DIFFERENTIATION_NTAR_ID,0))</f>
        <v/>
      </c>
      <c r="H271" s="1863"/>
      <c r="I271" s="1740"/>
      <c r="J271" s="1774"/>
      <c r="K271" s="1779"/>
      <c r="L271" s="1863" t="s">
        <v>323</v>
      </c>
      <c r="M271" s="342"/>
      <c r="N271" s="335"/>
      <c r="O271" s="1625"/>
      <c r="P271" s="1625"/>
      <c r="AH271" s="1632">
        <v>0</v>
      </c>
    </row>
    <row s="1636" customFormat="1" customHeight="1" ht="18.75" hidden="1">
      <c r="A272" s="1781"/>
      <c r="B272" s="1781"/>
      <c r="C272" s="370" t="s">
        <v>1164</v>
      </c>
      <c r="D272" s="2463"/>
      <c r="E272" s="2205"/>
      <c r="F272" s="2384"/>
      <c r="G272" s="2428"/>
      <c r="H272" s="1501"/>
      <c r="I272" s="652" t="s">
        <v>1163</v>
      </c>
      <c r="J272" s="572"/>
      <c r="K272" s="1501"/>
      <c r="L272" s="215"/>
      <c r="M272" s="342"/>
      <c r="N272" s="335"/>
      <c r="O272" s="1625"/>
      <c r="P272" s="1625"/>
      <c r="AH272" s="1632">
        <v>0</v>
      </c>
    </row>
    <row s="1636" customFormat="1" customHeight="1" ht="0.75" hidden="1">
      <c r="A273" s="1781"/>
      <c r="B273" s="1781"/>
      <c r="C273" s="370" t="s">
        <v>1173</v>
      </c>
      <c r="D273" s="2463"/>
      <c r="E273" s="2205"/>
      <c r="F273" s="2384"/>
      <c r="G273" s="401"/>
      <c r="H273" s="1501"/>
      <c r="I273" s="652"/>
      <c r="J273" s="572"/>
      <c r="K273" s="1501"/>
      <c r="L273" s="215"/>
      <c r="M273" s="342"/>
      <c r="N273" s="335"/>
      <c r="O273" s="1625"/>
      <c r="P273" s="1625"/>
      <c r="AH273" s="1632">
        <v>0</v>
      </c>
    </row>
    <row s="1636" customFormat="1" customHeight="1" ht="18.75" hidden="1">
      <c r="A274" s="1781" t="s">
        <v>292</v>
      </c>
      <c r="B274" s="1781" t="s">
        <v>293</v>
      </c>
      <c r="C274" s="370"/>
      <c r="D274" s="2463"/>
      <c r="E274" s="2205"/>
      <c r="F274" s="2384" t="str">
        <f>INDEX(PT_DIFFERENTIATION_VTAR,MATCH(A274,PT_DIFFERENTIATION_VTAR_ID,0))</f>
        <v>Тариф на подключение (технологическое присоединение) к централизованной системе водоотведения</v>
      </c>
      <c r="G274" s="2428" t="str">
        <f>INDEX(PT_DIFFERENTIATION_NTAR,MATCH(B274,PT_DIFFERENTIATION_NTAR_ID,0))</f>
        <v/>
      </c>
      <c r="H274" s="1863"/>
      <c r="I274" s="1740"/>
      <c r="J274" s="1774"/>
      <c r="K274" s="1779"/>
      <c r="L274" s="1863" t="s">
        <v>323</v>
      </c>
      <c r="M274" s="342"/>
      <c r="N274" s="335"/>
      <c r="O274" s="1625"/>
      <c r="P274" s="1625"/>
      <c r="AH274" s="1632">
        <v>0</v>
      </c>
    </row>
    <row s="1636" customFormat="1" customHeight="1" ht="18.75" hidden="1">
      <c r="A275" s="1781"/>
      <c r="B275" s="1781"/>
      <c r="C275" s="370" t="s">
        <v>1164</v>
      </c>
      <c r="D275" s="2463"/>
      <c r="E275" s="2205"/>
      <c r="F275" s="2384"/>
      <c r="G275" s="2428"/>
      <c r="H275" s="1501"/>
      <c r="I275" s="652" t="s">
        <v>1163</v>
      </c>
      <c r="J275" s="572"/>
      <c r="K275" s="1501"/>
      <c r="L275" s="215"/>
      <c r="M275" s="342"/>
      <c r="N275" s="335"/>
      <c r="O275" s="1625"/>
      <c r="P275" s="1625"/>
      <c r="AH275" s="1632">
        <v>0</v>
      </c>
    </row>
    <row s="1636" customFormat="1" customHeight="1" ht="1.05">
      <c r="A276" s="1781"/>
      <c r="B276" s="1781"/>
      <c r="C276" s="370" t="s">
        <v>1173</v>
      </c>
      <c r="D276" s="2463"/>
      <c r="E276" s="2205"/>
      <c r="F276" s="2384"/>
      <c r="G276" s="401"/>
      <c r="H276" s="1501"/>
      <c r="I276" s="652"/>
      <c r="J276" s="572"/>
      <c r="K276" s="1501"/>
      <c r="L276" s="215"/>
      <c r="M276" s="342"/>
      <c r="N276" s="335"/>
      <c r="O276" s="1625"/>
      <c r="P276" s="1625"/>
      <c r="AH276" s="1632">
        <v>1</v>
      </c>
    </row>
    <row customHeight="1" ht="27.299999999999997">
      <c r="A277" s="1781"/>
      <c r="B277" s="1781"/>
      <c r="D277" s="377"/>
      <c r="E277" s="148" t="s">
        <v>93</v>
      </c>
      <c r="F277" s="2461" t="str">
        <f>"Размер экономически обоснованных расходов, не учтенных при установлении "&amp;IF(TEMPLATE_SPHERE="HEAT","регулируемых цен (тарифов)","тарифов")&amp;" в предыдущий период регулирования (при их наличии), "&amp;IF(TEMPLATE_SPHERE="HEAT","определенном в соответствии с законодательством в сфере теплоснабжения","определенных в соответствии с Основами ценообразования в сфере водоснабжения и водоотведения")</f>
        <v>Размер экономически обоснованных расходов, не учтенных при установлении регулируемых цен (тарифов) в предыдущий период регулирования (при их наличии), определенном в соответствии с законодательством в сфере теплоснабжения</v>
      </c>
      <c r="G277" s="2461"/>
      <c r="H277" s="2461"/>
      <c r="I277" s="2461"/>
      <c r="J277" s="2461"/>
      <c r="K277" s="2461"/>
      <c r="L277" s="2461"/>
      <c r="M277" s="298"/>
      <c r="N277" s="335"/>
      <c r="AH277" s="375">
        <v>26</v>
      </c>
    </row>
    <row s="1636" customFormat="1" customHeight="1" ht="60.75" hidden="1">
      <c r="A278" s="1781" t="s">
        <v>163</v>
      </c>
      <c r="B278" s="1781" t="s">
        <v>164</v>
      </c>
      <c r="C278" s="370"/>
      <c r="D278" s="2463"/>
      <c r="E278" s="2205"/>
      <c r="F278" s="2384" t="str">
        <f>INDEX(PT_DIFFERENTIATION_VTAR,MATCH(A278,PT_DIFFERENTIATION_VTAR_ID,0))</f>
        <v>Тарифы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v>
      </c>
      <c r="G278" s="2428" t="str">
        <f>INDEX(PT_DIFFERENTIATION_NTAR,MATCH(B278,PT_DIFFERENTIATION_NTAR_ID,0))</f>
        <v/>
      </c>
      <c r="H278" s="1863"/>
      <c r="I278" s="1740"/>
      <c r="J278" s="1774"/>
      <c r="K278" s="1779"/>
      <c r="L278" s="1863" t="s">
        <v>323</v>
      </c>
      <c r="M278" s="2170" t="str">
        <f>"Значение в колонке «Вид тарифа» выбирается из перечня видов тарифов в сфере "&amp;TEMPLATE_SPHERE_RUS&amp;", предусмотренных законодательством в сфере "&amp;IF(TEMPLATE_SPHERE="HEAT","теплоснабжения","водоснабжения и водоотведения")&amp;".
Даты начала и окончания срока действия тарифов указываются в виде «ДД.ММ.ГГГГ».
"&amp;"Величина экономически обоснованных расходов, не учтенных при регулировании тарифов в предыдущий период регулирования, указывается в колонке «Информация» в тыс. руб.
"&amp;"В случае отсутствия экономически обоснованных расходов, не учтенных при регулировании тарифов в предыдущий период регулирования, определенных в соответствии с законодательством в сфере водоснабжения и водоотведения, указывается значение «0».
"&amp;"В случае дифференциации экономически обоснованных расходов по видам тарифов и/или по срокам действия тарифов информация указывается в отдельных строках."</f>
        <v>Значение в колонке «Вид тарифа» выбирается из перечня видов тарифов в сфере теплоснабжения, предусмотренных законодательством в сфере теплоснабжения.
Даты начала и окончания срока действия тарифов указываются в виде «ДД.ММ.ГГГГ».
Величина экономически обоснованных расходов, не учтенных при регулировании тарифов в предыдущий период регулирования, указывается в колонке «Информация» в тыс. руб.
В случае отсутствия экономически обоснованных расходов, не учтенных при регулировании тарифов в предыдущий период регулирования, определенных в соответствии с законодательством в сфере водоснабжения и водоотведения, указывается значение «0».
В случае дифференциации экономически обоснованных расходов по видам тарифов и/или по срокам действия тарифов информация указывается в отдельных строках.</v>
      </c>
      <c r="N278" s="335"/>
      <c r="O278" s="1625"/>
      <c r="P278" s="1625"/>
      <c r="AH278" s="1632">
        <v>0</v>
      </c>
    </row>
    <row s="1636" customFormat="1" customHeight="1" ht="18.75" hidden="1">
      <c r="A279" s="1781"/>
      <c r="B279" s="1781"/>
      <c r="C279" s="370" t="s">
        <v>1164</v>
      </c>
      <c r="D279" s="2463"/>
      <c r="E279" s="2205"/>
      <c r="F279" s="2384"/>
      <c r="G279" s="2428"/>
      <c r="H279" s="1501"/>
      <c r="I279" s="652" t="s">
        <v>1163</v>
      </c>
      <c r="J279" s="572"/>
      <c r="K279" s="1501"/>
      <c r="L279" s="215"/>
      <c r="M279" s="2171"/>
      <c r="N279" s="335"/>
      <c r="O279" s="1625"/>
      <c r="P279" s="1625"/>
      <c r="AH279" s="1632">
        <v>0</v>
      </c>
    </row>
    <row s="1636" customFormat="1" customHeight="1" ht="0.75" hidden="1">
      <c r="A280" s="1781"/>
      <c r="B280" s="1781"/>
      <c r="C280" s="370" t="s">
        <v>1173</v>
      </c>
      <c r="D280" s="2463"/>
      <c r="E280" s="2205"/>
      <c r="F280" s="2384"/>
      <c r="G280" s="401"/>
      <c r="H280" s="1501"/>
      <c r="I280" s="652"/>
      <c r="J280" s="572"/>
      <c r="K280" s="1501"/>
      <c r="L280" s="215"/>
      <c r="M280" s="2171"/>
      <c r="N280" s="335"/>
      <c r="O280" s="1625"/>
      <c r="P280" s="1625"/>
      <c r="AH280" s="1632">
        <v>0</v>
      </c>
    </row>
    <row s="1636" customFormat="1" customHeight="1" ht="45">
      <c r="A281" s="1781" t="s">
        <v>171</v>
      </c>
      <c r="B281" s="1781" t="s">
        <v>172</v>
      </c>
      <c r="C281" s="370"/>
      <c r="D281" s="2463"/>
      <c r="E281" s="2205"/>
      <c r="F281" s="2384" t="str">
        <f>INDEX(PT_DIFFERENTIATION_VTAR,MATCH(A281,PT_DIFFERENTIATION_VTAR_ID,0))</f>
        <v>Тарифы на тепловую энергию (мощность), поставляемую теплоснабжающими организациями потребителям, другим теплоснабжающим организациям</v>
      </c>
      <c r="G281" s="2428" t="str">
        <f>INDEX(PT_DIFFERENTIATION_NTAR,MATCH(B281,PT_DIFFERENTIATION_NTAR_ID,0))</f>
        <v>Тарифы на тепловую энергию (мощность) на коллекторах источников тепловой энергии</v>
      </c>
      <c r="H281" s="1863"/>
      <c r="I281" s="1740">
        <v>46388</v>
      </c>
      <c r="J281" s="1774">
        <v>46752</v>
      </c>
      <c r="K281" s="1779">
        <v>0</v>
      </c>
      <c r="L281" s="1863" t="s">
        <v>323</v>
      </c>
      <c r="M281" s="2172"/>
      <c r="N281" s="335"/>
      <c r="O281" s="1625"/>
      <c r="P281" s="1625"/>
      <c r="AH281" s="1632">
        <v>0</v>
      </c>
    </row>
    <row s="1636" customFormat="1" customHeight="1" ht="18.75">
      <c r="A282" s="1781"/>
      <c r="B282" s="1781"/>
      <c r="C282" s="370" t="s">
        <v>1164</v>
      </c>
      <c r="D282" s="2463"/>
      <c r="E282" s="2205"/>
      <c r="F282" s="2384"/>
      <c r="G282" s="2428"/>
      <c r="H282" s="1501"/>
      <c r="I282" s="652" t="s">
        <v>1163</v>
      </c>
      <c r="J282" s="572"/>
      <c r="K282" s="1501"/>
      <c r="L282" s="215"/>
      <c r="M282" s="1862"/>
      <c r="N282" s="335"/>
      <c r="O282" s="1625"/>
      <c r="P282" s="1625"/>
      <c r="AH282" s="1632">
        <v>0</v>
      </c>
    </row>
    <row s="1636" customFormat="1" customHeight="1" ht="18.75">
      <c r="A283" s="1824" t="s">
        <v>171</v>
      </c>
      <c r="B283" s="1824" t="s">
        <v>180</v>
      </c>
      <c r="C283" s="1688"/>
      <c r="D283" s="345"/>
      <c r="E283" s="1032"/>
      <c r="F283" s="1032"/>
      <c r="G283" s="2428" t="str">
        <f>INDEX(PT_DIFFERENTIATION_NTAR,MATCH(B283,PT_DIFFERENTIATION_NTAR_ID,0))</f>
        <v>Тарифы на тепловую энергию (мощность), поставляемую потребителям</v>
      </c>
      <c r="H283" s="2272"/>
      <c r="I283" s="1740">
        <v>46388</v>
      </c>
      <c r="J283" s="1774">
        <v>46752</v>
      </c>
      <c r="K283" s="1779">
        <v>0</v>
      </c>
      <c r="L283" s="2272" t="s">
        <v>323</v>
      </c>
      <c r="M283" s="2319"/>
      <c r="N283" s="619"/>
      <c r="O283" s="1625"/>
      <c r="P283" s="1625"/>
      <c r="Q283" s="1636"/>
      <c r="R283" s="1636"/>
      <c r="S283" s="1636"/>
      <c r="T283" s="1636"/>
      <c r="U283" s="1636"/>
      <c r="V283" s="1636"/>
      <c r="W283" s="1636"/>
      <c r="X283" s="1636"/>
      <c r="Y283" s="1636"/>
      <c r="Z283" s="1636"/>
      <c r="AA283" s="1636"/>
      <c r="AB283" s="1636"/>
      <c r="AC283" s="1636"/>
      <c r="AD283" s="1636"/>
      <c r="AE283" s="1636"/>
      <c r="AF283" s="1636"/>
      <c r="AG283" s="1636"/>
      <c r="AH283" s="1636">
        <v>0</v>
      </c>
    </row>
    <row s="1636" customFormat="1" customHeight="1" ht="18.75">
      <c r="A284" s="1824"/>
      <c r="B284" s="1824"/>
      <c r="C284" s="1688" t="s">
        <v>1164</v>
      </c>
      <c r="D284" s="345"/>
      <c r="E284" s="1032"/>
      <c r="F284" s="1032"/>
      <c r="G284" s="2428"/>
      <c r="H284" s="2891"/>
      <c r="I284" s="2892" t="s">
        <v>1163</v>
      </c>
      <c r="J284" s="2893"/>
      <c r="K284" s="2894"/>
      <c r="L284" s="2895"/>
      <c r="M284" s="2319"/>
      <c r="N284" s="619"/>
      <c r="O284" s="1625"/>
      <c r="P284" s="1625"/>
      <c r="Q284" s="1636"/>
      <c r="R284" s="1636"/>
      <c r="S284" s="1636"/>
      <c r="T284" s="1636"/>
      <c r="U284" s="1636"/>
      <c r="V284" s="1636"/>
      <c r="W284" s="1636"/>
      <c r="X284" s="1636"/>
      <c r="Y284" s="1636"/>
      <c r="Z284" s="1636"/>
      <c r="AA284" s="1636"/>
      <c r="AB284" s="1636"/>
      <c r="AC284" s="1636"/>
      <c r="AD284" s="1636"/>
      <c r="AE284" s="1636"/>
      <c r="AF284" s="1636"/>
      <c r="AG284" s="1636"/>
      <c r="AH284" s="1636">
        <v>0</v>
      </c>
    </row>
    <row s="1636" customFormat="1" customHeight="1" ht="0.75">
      <c r="A285" s="1781"/>
      <c r="B285" s="1781"/>
      <c r="C285" s="370" t="s">
        <v>1173</v>
      </c>
      <c r="D285" s="2463"/>
      <c r="E285" s="2205"/>
      <c r="F285" s="2384"/>
      <c r="G285" s="401"/>
      <c r="H285" s="1501"/>
      <c r="I285" s="652"/>
      <c r="J285" s="572"/>
      <c r="K285" s="1501"/>
      <c r="L285" s="215"/>
      <c r="M285" s="342"/>
      <c r="N285" s="335"/>
      <c r="O285" s="1625"/>
      <c r="P285" s="1625"/>
      <c r="AH285" s="1632">
        <v>0</v>
      </c>
    </row>
    <row s="1636" customFormat="1" customHeight="1" ht="45" hidden="1">
      <c r="A286" s="1781" t="s">
        <v>186</v>
      </c>
      <c r="B286" s="1781" t="s">
        <v>187</v>
      </c>
      <c r="C286" s="370"/>
      <c r="D286" s="2463"/>
      <c r="E286" s="2205"/>
      <c r="F286" s="2384" t="str">
        <f>INDEX(PT_DIFFERENTIATION_VTAR,MATCH(A286,PT_DIFFERENTIATION_VTAR_ID,0))</f>
        <v>Тарифы на теплоноситель, поставляемый теплоснабжающими организациями потребителям, другим теплоснабжающим организациям</v>
      </c>
      <c r="G286" s="2428" t="str">
        <f>INDEX(PT_DIFFERENTIATION_NTAR,MATCH(B286,PT_DIFFERENTIATION_NTAR_ID,0))</f>
        <v/>
      </c>
      <c r="H286" s="1863"/>
      <c r="I286" s="1740"/>
      <c r="J286" s="1774"/>
      <c r="K286" s="1779"/>
      <c r="L286" s="1863" t="s">
        <v>323</v>
      </c>
      <c r="M286" s="342"/>
      <c r="N286" s="335"/>
      <c r="O286" s="1625"/>
      <c r="P286" s="1625"/>
      <c r="AH286" s="1632">
        <v>0</v>
      </c>
    </row>
    <row s="1636" customFormat="1" customHeight="1" ht="18.75" hidden="1">
      <c r="A287" s="1781"/>
      <c r="B287" s="1781"/>
      <c r="C287" s="370" t="s">
        <v>1164</v>
      </c>
      <c r="D287" s="2463"/>
      <c r="E287" s="2205"/>
      <c r="F287" s="2384"/>
      <c r="G287" s="2428"/>
      <c r="H287" s="1501"/>
      <c r="I287" s="652" t="s">
        <v>1163</v>
      </c>
      <c r="J287" s="572"/>
      <c r="K287" s="1501"/>
      <c r="L287" s="215"/>
      <c r="M287" s="342"/>
      <c r="N287" s="335"/>
      <c r="O287" s="1625"/>
      <c r="P287" s="1625"/>
      <c r="AH287" s="1632">
        <v>0</v>
      </c>
    </row>
    <row s="1636" customFormat="1" customHeight="1" ht="0.75" hidden="1">
      <c r="A288" s="1781"/>
      <c r="B288" s="1781"/>
      <c r="C288" s="370" t="s">
        <v>1173</v>
      </c>
      <c r="D288" s="2463"/>
      <c r="E288" s="2205"/>
      <c r="F288" s="2384"/>
      <c r="G288" s="401"/>
      <c r="H288" s="1501"/>
      <c r="I288" s="652"/>
      <c r="J288" s="572"/>
      <c r="K288" s="1501"/>
      <c r="L288" s="215"/>
      <c r="M288" s="342"/>
      <c r="N288" s="335"/>
      <c r="O288" s="1625"/>
      <c r="P288" s="1625"/>
      <c r="AH288" s="1632">
        <v>0</v>
      </c>
    </row>
    <row s="1636" customFormat="1" customHeight="1" ht="45" hidden="1">
      <c r="A289" s="1781" t="s">
        <v>192</v>
      </c>
      <c r="B289" s="1781" t="s">
        <v>193</v>
      </c>
      <c r="C289" s="370"/>
      <c r="D289" s="2463"/>
      <c r="E289" s="2205"/>
      <c r="F289" s="2384" t="str">
        <f>INDEX(PT_DIFFERENTIATION_VTAR,MATCH(A289,PT_DIFFERENTIATION_VTAR_ID,0))</f>
        <v>Тарифы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v>
      </c>
      <c r="G289" s="2428" t="str">
        <f>INDEX(PT_DIFFERENTIATION_NTAR,MATCH(B289,PT_DIFFERENTIATION_NTAR_ID,0))</f>
        <v/>
      </c>
      <c r="H289" s="1863"/>
      <c r="I289" s="1740"/>
      <c r="J289" s="1774"/>
      <c r="K289" s="1779"/>
      <c r="L289" s="1863" t="s">
        <v>323</v>
      </c>
      <c r="M289" s="342"/>
      <c r="N289" s="335"/>
      <c r="O289" s="1625"/>
      <c r="P289" s="1625"/>
      <c r="AH289" s="1632">
        <v>0</v>
      </c>
    </row>
    <row s="1636" customFormat="1" customHeight="1" ht="18.75" hidden="1">
      <c r="A290" s="1781"/>
      <c r="B290" s="1781"/>
      <c r="C290" s="370" t="s">
        <v>1164</v>
      </c>
      <c r="D290" s="2463"/>
      <c r="E290" s="2205"/>
      <c r="F290" s="2384"/>
      <c r="G290" s="2428"/>
      <c r="H290" s="1501"/>
      <c r="I290" s="652" t="s">
        <v>1163</v>
      </c>
      <c r="J290" s="572"/>
      <c r="K290" s="1501"/>
      <c r="L290" s="215"/>
      <c r="M290" s="342"/>
      <c r="N290" s="335"/>
      <c r="O290" s="1625"/>
      <c r="P290" s="1625"/>
      <c r="AH290" s="1632">
        <v>0</v>
      </c>
    </row>
    <row s="1636" customFormat="1" customHeight="1" ht="0.75" hidden="1">
      <c r="A291" s="1781"/>
      <c r="B291" s="1781"/>
      <c r="C291" s="370" t="s">
        <v>1173</v>
      </c>
      <c r="D291" s="2463"/>
      <c r="E291" s="2205"/>
      <c r="F291" s="2384"/>
      <c r="G291" s="401"/>
      <c r="H291" s="1501"/>
      <c r="I291" s="652"/>
      <c r="J291" s="572"/>
      <c r="K291" s="1501"/>
      <c r="L291" s="215"/>
      <c r="M291" s="342"/>
      <c r="N291" s="335"/>
      <c r="O291" s="1625"/>
      <c r="P291" s="1625"/>
      <c r="AH291" s="1632">
        <v>0</v>
      </c>
    </row>
    <row s="1636" customFormat="1" customHeight="1" ht="18.75" hidden="1">
      <c r="A292" s="1781" t="s">
        <v>198</v>
      </c>
      <c r="B292" s="1781" t="s">
        <v>199</v>
      </c>
      <c r="C292" s="370"/>
      <c r="D292" s="2463"/>
      <c r="E292" s="2205"/>
      <c r="F292" s="2384" t="str">
        <f>INDEX(PT_DIFFERENTIATION_VTAR,MATCH(A292,PT_DIFFERENTIATION_VTAR_ID,0))</f>
        <v>Тарифы на услуги по передаче тепловой энергии</v>
      </c>
      <c r="G292" s="2428" t="str">
        <f>INDEX(PT_DIFFERENTIATION_NTAR,MATCH(B292,PT_DIFFERENTIATION_NTAR_ID,0))</f>
        <v/>
      </c>
      <c r="H292" s="1863"/>
      <c r="I292" s="1740"/>
      <c r="J292" s="1774"/>
      <c r="K292" s="1779"/>
      <c r="L292" s="1863" t="s">
        <v>323</v>
      </c>
      <c r="M292" s="342"/>
      <c r="N292" s="335"/>
      <c r="O292" s="1625"/>
      <c r="P292" s="1625"/>
      <c r="AH292" s="1632">
        <v>0</v>
      </c>
    </row>
    <row s="1636" customFormat="1" customHeight="1" ht="18.75" hidden="1">
      <c r="A293" s="1781"/>
      <c r="B293" s="1781"/>
      <c r="C293" s="370" t="s">
        <v>1164</v>
      </c>
      <c r="D293" s="2463"/>
      <c r="E293" s="2205"/>
      <c r="F293" s="2384"/>
      <c r="G293" s="2428"/>
      <c r="H293" s="1501"/>
      <c r="I293" s="652" t="s">
        <v>1163</v>
      </c>
      <c r="J293" s="572"/>
      <c r="K293" s="1501"/>
      <c r="L293" s="215"/>
      <c r="M293" s="342"/>
      <c r="N293" s="335"/>
      <c r="O293" s="1625"/>
      <c r="P293" s="1625"/>
      <c r="AH293" s="1632">
        <v>0</v>
      </c>
    </row>
    <row s="1636" customFormat="1" customHeight="1" ht="0.75" hidden="1">
      <c r="A294" s="1781"/>
      <c r="B294" s="1781"/>
      <c r="C294" s="370" t="s">
        <v>1173</v>
      </c>
      <c r="D294" s="2463"/>
      <c r="E294" s="2205"/>
      <c r="F294" s="2384"/>
      <c r="G294" s="401"/>
      <c r="H294" s="1501"/>
      <c r="I294" s="652"/>
      <c r="J294" s="572"/>
      <c r="K294" s="1501"/>
      <c r="L294" s="215"/>
      <c r="M294" s="342"/>
      <c r="N294" s="335"/>
      <c r="O294" s="1625"/>
      <c r="P294" s="1625"/>
      <c r="AH294" s="1632">
        <v>0</v>
      </c>
    </row>
    <row s="1636" customFormat="1" customHeight="1" ht="18.75" hidden="1">
      <c r="A295" s="1781" t="s">
        <v>204</v>
      </c>
      <c r="B295" s="1781" t="s">
        <v>205</v>
      </c>
      <c r="C295" s="370"/>
      <c r="D295" s="2463"/>
      <c r="E295" s="2205"/>
      <c r="F295" s="2384" t="str">
        <f>INDEX(PT_DIFFERENTIATION_VTAR,MATCH(A295,PT_DIFFERENTIATION_VTAR_ID,0))</f>
        <v>Тарифы на услуги по передаче теплоносителя</v>
      </c>
      <c r="G295" s="2428" t="str">
        <f>INDEX(PT_DIFFERENTIATION_NTAR,MATCH(B295,PT_DIFFERENTIATION_NTAR_ID,0))</f>
        <v/>
      </c>
      <c r="H295" s="1863"/>
      <c r="I295" s="1740"/>
      <c r="J295" s="1774"/>
      <c r="K295" s="1779"/>
      <c r="L295" s="1863" t="s">
        <v>323</v>
      </c>
      <c r="M295" s="342"/>
      <c r="N295" s="335"/>
      <c r="O295" s="1625"/>
      <c r="P295" s="1625"/>
      <c r="AH295" s="1632">
        <v>0</v>
      </c>
    </row>
    <row s="1636" customFormat="1" customHeight="1" ht="18.75" hidden="1">
      <c r="A296" s="1781"/>
      <c r="B296" s="1781"/>
      <c r="C296" s="370" t="s">
        <v>1164</v>
      </c>
      <c r="D296" s="2463"/>
      <c r="E296" s="2205"/>
      <c r="F296" s="2384"/>
      <c r="G296" s="2428"/>
      <c r="H296" s="1501"/>
      <c r="I296" s="652" t="s">
        <v>1163</v>
      </c>
      <c r="J296" s="572"/>
      <c r="K296" s="1501"/>
      <c r="L296" s="215"/>
      <c r="M296" s="342"/>
      <c r="N296" s="335"/>
      <c r="O296" s="1625"/>
      <c r="P296" s="1625"/>
      <c r="AH296" s="1632">
        <v>0</v>
      </c>
    </row>
    <row s="1636" customFormat="1" customHeight="1" ht="0.75" hidden="1">
      <c r="A297" s="1781"/>
      <c r="B297" s="1781"/>
      <c r="C297" s="370" t="s">
        <v>1173</v>
      </c>
      <c r="D297" s="2463"/>
      <c r="E297" s="2205"/>
      <c r="F297" s="2384"/>
      <c r="G297" s="401"/>
      <c r="H297" s="1501"/>
      <c r="I297" s="652"/>
      <c r="J297" s="572"/>
      <c r="K297" s="1501"/>
      <c r="L297" s="215"/>
      <c r="M297" s="342"/>
      <c r="N297" s="335"/>
      <c r="O297" s="1625"/>
      <c r="P297" s="1625"/>
      <c r="AH297" s="1632">
        <v>0</v>
      </c>
    </row>
    <row s="1636" customFormat="1" customHeight="1" ht="18.75" hidden="1">
      <c r="A298" s="1781" t="s">
        <v>210</v>
      </c>
      <c r="B298" s="1781" t="s">
        <v>211</v>
      </c>
      <c r="C298" s="370"/>
      <c r="D298" s="2463"/>
      <c r="E298" s="2205"/>
      <c r="F298" s="2384" t="str">
        <f>INDEX(PT_DIFFERENTIATION_VTAR,MATCH(A298,PT_DIFFERENTIATION_VTAR_ID,0))</f>
        <v>Плата за услуги по поддержанию резервной тепловой мощности при отсутствии потребления тепловой энергии</v>
      </c>
      <c r="G298" s="2428" t="str">
        <f>INDEX(PT_DIFFERENTIATION_NTAR,MATCH(B298,PT_DIFFERENTIATION_NTAR_ID,0))</f>
        <v/>
      </c>
      <c r="H298" s="1863"/>
      <c r="I298" s="1740"/>
      <c r="J298" s="1774"/>
      <c r="K298" s="1779"/>
      <c r="L298" s="1863" t="s">
        <v>323</v>
      </c>
      <c r="M298" s="342"/>
      <c r="N298" s="335"/>
      <c r="O298" s="1625"/>
      <c r="P298" s="1625"/>
      <c r="AH298" s="1632">
        <v>0</v>
      </c>
    </row>
    <row s="1636" customFormat="1" customHeight="1" ht="18.75" hidden="1">
      <c r="A299" s="1781"/>
      <c r="B299" s="1781"/>
      <c r="C299" s="370" t="s">
        <v>1164</v>
      </c>
      <c r="D299" s="2463"/>
      <c r="E299" s="2205"/>
      <c r="F299" s="2384"/>
      <c r="G299" s="2428"/>
      <c r="H299" s="1501"/>
      <c r="I299" s="652" t="s">
        <v>1163</v>
      </c>
      <c r="J299" s="572"/>
      <c r="K299" s="1501"/>
      <c r="L299" s="215"/>
      <c r="M299" s="342"/>
      <c r="N299" s="335"/>
      <c r="O299" s="1625"/>
      <c r="P299" s="1625"/>
      <c r="AH299" s="1632">
        <v>0</v>
      </c>
    </row>
    <row s="1636" customFormat="1" customHeight="1" ht="0.75" hidden="1">
      <c r="A300" s="1781"/>
      <c r="B300" s="1781"/>
      <c r="C300" s="370" t="s">
        <v>1173</v>
      </c>
      <c r="D300" s="2463"/>
      <c r="E300" s="2205"/>
      <c r="F300" s="2384"/>
      <c r="G300" s="401"/>
      <c r="H300" s="1501"/>
      <c r="I300" s="652"/>
      <c r="J300" s="572"/>
      <c r="K300" s="1501"/>
      <c r="L300" s="215"/>
      <c r="M300" s="342"/>
      <c r="N300" s="335"/>
      <c r="O300" s="1625"/>
      <c r="P300" s="1625"/>
      <c r="AH300" s="1632">
        <v>0</v>
      </c>
    </row>
    <row s="1636" customFormat="1" customHeight="1" ht="18.75" hidden="1">
      <c r="A301" s="1781" t="s">
        <v>216</v>
      </c>
      <c r="B301" s="1781" t="s">
        <v>217</v>
      </c>
      <c r="C301" s="370"/>
      <c r="D301" s="2463"/>
      <c r="E301" s="2205"/>
      <c r="F301" s="2384" t="str">
        <f>INDEX(PT_DIFFERENTIATION_VTAR,MATCH(A301,PT_DIFFERENTIATION_VTAR_ID,0))</f>
        <v>Плата за подключение (технологическое присоединение) к системе теплоснабжения</v>
      </c>
      <c r="G301" s="2428" t="str">
        <f>INDEX(PT_DIFFERENTIATION_NTAR,MATCH(B301,PT_DIFFERENTIATION_NTAR_ID,0))</f>
        <v/>
      </c>
      <c r="H301" s="1863"/>
      <c r="I301" s="1740"/>
      <c r="J301" s="1774"/>
      <c r="K301" s="1779"/>
      <c r="L301" s="1863" t="s">
        <v>323</v>
      </c>
      <c r="M301" s="342"/>
      <c r="N301" s="335"/>
      <c r="O301" s="1625"/>
      <c r="P301" s="1625"/>
      <c r="AH301" s="1632">
        <v>0</v>
      </c>
    </row>
    <row s="1636" customFormat="1" customHeight="1" ht="18.75" hidden="1">
      <c r="A302" s="1781"/>
      <c r="B302" s="1781"/>
      <c r="C302" s="370" t="s">
        <v>1164</v>
      </c>
      <c r="D302" s="2463"/>
      <c r="E302" s="2205"/>
      <c r="F302" s="2384"/>
      <c r="G302" s="2428"/>
      <c r="H302" s="1501"/>
      <c r="I302" s="652" t="s">
        <v>1163</v>
      </c>
      <c r="J302" s="572"/>
      <c r="K302" s="1501"/>
      <c r="L302" s="215"/>
      <c r="M302" s="342"/>
      <c r="N302" s="335"/>
      <c r="O302" s="1625"/>
      <c r="P302" s="1625"/>
      <c r="AH302" s="1632">
        <v>0</v>
      </c>
    </row>
    <row s="1636" customFormat="1" customHeight="1" ht="0.75" hidden="1">
      <c r="A303" s="1781"/>
      <c r="B303" s="1781"/>
      <c r="C303" s="370" t="s">
        <v>1173</v>
      </c>
      <c r="D303" s="2463"/>
      <c r="E303" s="2205"/>
      <c r="F303" s="2384"/>
      <c r="G303" s="401"/>
      <c r="H303" s="1501"/>
      <c r="I303" s="652"/>
      <c r="J303" s="572"/>
      <c r="K303" s="1501"/>
      <c r="L303" s="215"/>
      <c r="M303" s="342"/>
      <c r="N303" s="335"/>
      <c r="O303" s="1625"/>
      <c r="P303" s="1625"/>
      <c r="AH303" s="1632">
        <v>0</v>
      </c>
    </row>
    <row s="1636" customFormat="1" customHeight="1" ht="18.75" hidden="1">
      <c r="A304" s="1781" t="s">
        <v>222</v>
      </c>
      <c r="B304" s="1781" t="s">
        <v>223</v>
      </c>
      <c r="C304" s="370"/>
      <c r="D304" s="2463"/>
      <c r="E304" s="2205"/>
      <c r="F304" s="2384" t="str">
        <f>INDEX(PT_DIFFERENTIATION_VTAR,MATCH(A304,PT_DIFFERENTIATION_VTAR_ID,0))</f>
        <v>Плата за подключение (технологическое присоединение) к системе теплоснабжения (индивидуальная)</v>
      </c>
      <c r="G304" s="2428" t="str">
        <f>INDEX(PT_DIFFERENTIATION_NTAR,MATCH(B304,PT_DIFFERENTIATION_NTAR_ID,0))</f>
        <v/>
      </c>
      <c r="H304" s="1990"/>
      <c r="I304" s="1740"/>
      <c r="J304" s="1774"/>
      <c r="K304" s="1779"/>
      <c r="L304" s="1990" t="s">
        <v>323</v>
      </c>
      <c r="M304" s="342"/>
      <c r="N304" s="335"/>
      <c r="O304" s="1625"/>
      <c r="P304" s="1625"/>
      <c r="AH304" s="1632">
        <v>0</v>
      </c>
    </row>
    <row s="1636" customFormat="1" customHeight="1" ht="18.75" hidden="1">
      <c r="A305" s="1781"/>
      <c r="B305" s="1781"/>
      <c r="C305" s="370" t="s">
        <v>1164</v>
      </c>
      <c r="D305" s="2463"/>
      <c r="E305" s="2205"/>
      <c r="F305" s="2384"/>
      <c r="G305" s="2428"/>
      <c r="H305" s="1501"/>
      <c r="I305" s="652" t="s">
        <v>1163</v>
      </c>
      <c r="J305" s="572"/>
      <c r="K305" s="1501"/>
      <c r="L305" s="215"/>
      <c r="M305" s="342"/>
      <c r="N305" s="335"/>
      <c r="O305" s="1625"/>
      <c r="P305" s="1625"/>
      <c r="AH305" s="1632">
        <v>0</v>
      </c>
    </row>
    <row s="1636" customFormat="1" customHeight="1" ht="0.75" hidden="1">
      <c r="A306" s="1781"/>
      <c r="B306" s="1781"/>
      <c r="C306" s="370" t="s">
        <v>1173</v>
      </c>
      <c r="D306" s="2463"/>
      <c r="E306" s="2205"/>
      <c r="F306" s="2384"/>
      <c r="G306" s="401"/>
      <c r="H306" s="1501"/>
      <c r="I306" s="652"/>
      <c r="J306" s="572"/>
      <c r="K306" s="1501"/>
      <c r="L306" s="215"/>
      <c r="M306" s="342"/>
      <c r="N306" s="335"/>
      <c r="O306" s="1625"/>
      <c r="P306" s="1625"/>
      <c r="AH306" s="1632">
        <v>0</v>
      </c>
    </row>
    <row s="1636" customFormat="1" customHeight="1" ht="18.75" hidden="1">
      <c r="A307" s="1781" t="s">
        <v>242</v>
      </c>
      <c r="B307" s="1781" t="s">
        <v>243</v>
      </c>
      <c r="C307" s="370"/>
      <c r="D307" s="2463"/>
      <c r="E307" s="2205"/>
      <c r="F307" s="2384" t="str">
        <f>INDEX(PT_DIFFERENTIATION_VTAR,MATCH(A307,PT_DIFFERENTIATION_VTAR_ID,0))</f>
        <v>Тариф на питьевую воду (питьевое водоснабжение)</v>
      </c>
      <c r="G307" s="2428" t="str">
        <f>INDEX(PT_DIFFERENTIATION_NTAR,MATCH(B307,PT_DIFFERENTIATION_NTAR_ID,0))</f>
        <v/>
      </c>
      <c r="H307" s="1863"/>
      <c r="I307" s="1740"/>
      <c r="J307" s="1774"/>
      <c r="K307" s="1779"/>
      <c r="L307" s="1863" t="s">
        <v>323</v>
      </c>
      <c r="M307" s="342"/>
      <c r="N307" s="335"/>
      <c r="O307" s="1625"/>
      <c r="P307" s="1625"/>
      <c r="AH307" s="1632">
        <v>0</v>
      </c>
    </row>
    <row s="1636" customFormat="1" customHeight="1" ht="18.75" hidden="1">
      <c r="A308" s="1781"/>
      <c r="B308" s="1781"/>
      <c r="C308" s="370" t="s">
        <v>1164</v>
      </c>
      <c r="D308" s="2463"/>
      <c r="E308" s="2205"/>
      <c r="F308" s="2384"/>
      <c r="G308" s="2428"/>
      <c r="H308" s="1501"/>
      <c r="I308" s="652" t="s">
        <v>1163</v>
      </c>
      <c r="J308" s="572"/>
      <c r="K308" s="1501"/>
      <c r="L308" s="215"/>
      <c r="M308" s="342"/>
      <c r="N308" s="335"/>
      <c r="O308" s="1625"/>
      <c r="P308" s="1625"/>
      <c r="AH308" s="1632">
        <v>0</v>
      </c>
    </row>
    <row s="1636" customFormat="1" customHeight="1" ht="0.75" hidden="1">
      <c r="A309" s="1781"/>
      <c r="B309" s="1781"/>
      <c r="C309" s="370" t="s">
        <v>1173</v>
      </c>
      <c r="D309" s="2463"/>
      <c r="E309" s="2205"/>
      <c r="F309" s="2384"/>
      <c r="G309" s="401"/>
      <c r="H309" s="1501"/>
      <c r="I309" s="652"/>
      <c r="J309" s="572"/>
      <c r="K309" s="1501"/>
      <c r="L309" s="215"/>
      <c r="M309" s="342"/>
      <c r="N309" s="335"/>
      <c r="O309" s="1625"/>
      <c r="P309" s="1625"/>
      <c r="AH309" s="1632">
        <v>0</v>
      </c>
    </row>
    <row s="1636" customFormat="1" customHeight="1" ht="18.75" hidden="1">
      <c r="A310" s="1781" t="s">
        <v>247</v>
      </c>
      <c r="B310" s="1781" t="s">
        <v>248</v>
      </c>
      <c r="C310" s="370"/>
      <c r="D310" s="2463"/>
      <c r="E310" s="2205"/>
      <c r="F310" s="2384" t="str">
        <f>INDEX(PT_DIFFERENTIATION_VTAR,MATCH(A310,PT_DIFFERENTIATION_VTAR_ID,0))</f>
        <v>Тариф на техническую воду</v>
      </c>
      <c r="G310" s="2428" t="str">
        <f>INDEX(PT_DIFFERENTIATION_NTAR,MATCH(B310,PT_DIFFERENTIATION_NTAR_ID,0))</f>
        <v/>
      </c>
      <c r="H310" s="1863"/>
      <c r="I310" s="1740"/>
      <c r="J310" s="1774"/>
      <c r="K310" s="1779"/>
      <c r="L310" s="1863" t="s">
        <v>323</v>
      </c>
      <c r="M310" s="342"/>
      <c r="N310" s="335"/>
      <c r="O310" s="1625"/>
      <c r="P310" s="1625"/>
      <c r="AH310" s="1632">
        <v>0</v>
      </c>
    </row>
    <row s="1636" customFormat="1" customHeight="1" ht="18.75" hidden="1">
      <c r="A311" s="1781"/>
      <c r="B311" s="1781"/>
      <c r="C311" s="370" t="s">
        <v>1164</v>
      </c>
      <c r="D311" s="2463"/>
      <c r="E311" s="2205"/>
      <c r="F311" s="2384"/>
      <c r="G311" s="2428"/>
      <c r="H311" s="1501"/>
      <c r="I311" s="652" t="s">
        <v>1163</v>
      </c>
      <c r="J311" s="572"/>
      <c r="K311" s="1501"/>
      <c r="L311" s="215"/>
      <c r="M311" s="342"/>
      <c r="N311" s="335"/>
      <c r="O311" s="1625"/>
      <c r="P311" s="1625"/>
      <c r="AH311" s="1632">
        <v>0</v>
      </c>
    </row>
    <row s="1636" customFormat="1" customHeight="1" ht="0.75" hidden="1">
      <c r="A312" s="1781"/>
      <c r="B312" s="1781"/>
      <c r="C312" s="370" t="s">
        <v>1173</v>
      </c>
      <c r="D312" s="2463"/>
      <c r="E312" s="2205"/>
      <c r="F312" s="2384"/>
      <c r="G312" s="401"/>
      <c r="H312" s="1501"/>
      <c r="I312" s="652"/>
      <c r="J312" s="572"/>
      <c r="K312" s="1501"/>
      <c r="L312" s="215"/>
      <c r="M312" s="342"/>
      <c r="N312" s="335"/>
      <c r="O312" s="1625"/>
      <c r="P312" s="1625"/>
      <c r="AH312" s="1632">
        <v>0</v>
      </c>
    </row>
    <row s="1636" customFormat="1" customHeight="1" ht="18.75" hidden="1">
      <c r="A313" s="1781" t="s">
        <v>252</v>
      </c>
      <c r="B313" s="1781" t="s">
        <v>253</v>
      </c>
      <c r="C313" s="370"/>
      <c r="D313" s="2463"/>
      <c r="E313" s="2205"/>
      <c r="F313" s="2384" t="str">
        <f>INDEX(PT_DIFFERENTIATION_VTAR,MATCH(A313,PT_DIFFERENTIATION_VTAR_ID,0))</f>
        <v>Тариф на транспортировку воды</v>
      </c>
      <c r="G313" s="2428" t="str">
        <f>INDEX(PT_DIFFERENTIATION_NTAR,MATCH(B313,PT_DIFFERENTIATION_NTAR_ID,0))</f>
        <v/>
      </c>
      <c r="H313" s="1863"/>
      <c r="I313" s="1740"/>
      <c r="J313" s="1774"/>
      <c r="K313" s="1779"/>
      <c r="L313" s="1863" t="s">
        <v>323</v>
      </c>
      <c r="M313" s="342"/>
      <c r="N313" s="335"/>
      <c r="O313" s="1625"/>
      <c r="P313" s="1625"/>
      <c r="AH313" s="1632">
        <v>0</v>
      </c>
    </row>
    <row s="1636" customFormat="1" customHeight="1" ht="18.75" hidden="1">
      <c r="A314" s="1781"/>
      <c r="B314" s="1781"/>
      <c r="C314" s="370" t="s">
        <v>1164</v>
      </c>
      <c r="D314" s="2463"/>
      <c r="E314" s="2205"/>
      <c r="F314" s="2384"/>
      <c r="G314" s="2428"/>
      <c r="H314" s="1501"/>
      <c r="I314" s="652" t="s">
        <v>1163</v>
      </c>
      <c r="J314" s="572"/>
      <c r="K314" s="1501"/>
      <c r="L314" s="215"/>
      <c r="M314" s="342"/>
      <c r="N314" s="335"/>
      <c r="O314" s="1625"/>
      <c r="P314" s="1625"/>
      <c r="AH314" s="1632">
        <v>0</v>
      </c>
    </row>
    <row s="1636" customFormat="1" customHeight="1" ht="0.75" hidden="1">
      <c r="A315" s="1781"/>
      <c r="B315" s="1781"/>
      <c r="C315" s="370" t="s">
        <v>1173</v>
      </c>
      <c r="D315" s="2463"/>
      <c r="E315" s="2205"/>
      <c r="F315" s="2384"/>
      <c r="G315" s="401"/>
      <c r="H315" s="1501"/>
      <c r="I315" s="652"/>
      <c r="J315" s="572"/>
      <c r="K315" s="1501"/>
      <c r="L315" s="215"/>
      <c r="M315" s="342"/>
      <c r="N315" s="335"/>
      <c r="O315" s="1625"/>
      <c r="P315" s="1625"/>
      <c r="AH315" s="1632">
        <v>0</v>
      </c>
    </row>
    <row s="1636" customFormat="1" customHeight="1" ht="18.75" hidden="1">
      <c r="A316" s="1781" t="s">
        <v>257</v>
      </c>
      <c r="B316" s="1781" t="s">
        <v>258</v>
      </c>
      <c r="C316" s="370"/>
      <c r="D316" s="2463"/>
      <c r="E316" s="2205"/>
      <c r="F316" s="2384" t="str">
        <f>INDEX(PT_DIFFERENTIATION_VTAR,MATCH(A316,PT_DIFFERENTIATION_VTAR_ID,0))</f>
        <v>Тариф на подвоз воды</v>
      </c>
      <c r="G316" s="2428" t="str">
        <f>INDEX(PT_DIFFERENTIATION_NTAR,MATCH(B316,PT_DIFFERENTIATION_NTAR_ID,0))</f>
        <v/>
      </c>
      <c r="H316" s="1863"/>
      <c r="I316" s="1740"/>
      <c r="J316" s="1774"/>
      <c r="K316" s="1779"/>
      <c r="L316" s="1863" t="s">
        <v>323</v>
      </c>
      <c r="M316" s="342"/>
      <c r="N316" s="335"/>
      <c r="O316" s="1625"/>
      <c r="P316" s="1625"/>
      <c r="AH316" s="1632">
        <v>0</v>
      </c>
    </row>
    <row s="1636" customFormat="1" customHeight="1" ht="18.75" hidden="1">
      <c r="A317" s="1781"/>
      <c r="B317" s="1781"/>
      <c r="C317" s="370" t="s">
        <v>1164</v>
      </c>
      <c r="D317" s="2463"/>
      <c r="E317" s="2205"/>
      <c r="F317" s="2384"/>
      <c r="G317" s="2428"/>
      <c r="H317" s="1501"/>
      <c r="I317" s="652" t="s">
        <v>1163</v>
      </c>
      <c r="J317" s="572"/>
      <c r="K317" s="1501"/>
      <c r="L317" s="215"/>
      <c r="M317" s="342"/>
      <c r="N317" s="335"/>
      <c r="O317" s="1625"/>
      <c r="P317" s="1625"/>
      <c r="AH317" s="1632">
        <v>0</v>
      </c>
    </row>
    <row s="1636" customFormat="1" customHeight="1" ht="0.75" hidden="1">
      <c r="A318" s="1781"/>
      <c r="B318" s="1781"/>
      <c r="C318" s="370" t="s">
        <v>1173</v>
      </c>
      <c r="D318" s="2463"/>
      <c r="E318" s="2205"/>
      <c r="F318" s="2384"/>
      <c r="G318" s="401"/>
      <c r="H318" s="1501"/>
      <c r="I318" s="652"/>
      <c r="J318" s="572"/>
      <c r="K318" s="1501"/>
      <c r="L318" s="215"/>
      <c r="M318" s="342"/>
      <c r="N318" s="335"/>
      <c r="O318" s="1625"/>
      <c r="P318" s="1625"/>
      <c r="AH318" s="1632">
        <v>0</v>
      </c>
    </row>
    <row s="1636" customFormat="1" customHeight="1" ht="18.75" hidden="1">
      <c r="A319" s="1781" t="s">
        <v>262</v>
      </c>
      <c r="B319" s="1781" t="s">
        <v>263</v>
      </c>
      <c r="C319" s="370"/>
      <c r="D319" s="2463"/>
      <c r="E319" s="2205"/>
      <c r="F319" s="2384" t="str">
        <f>INDEX(PT_DIFFERENTIATION_VTAR,MATCH(A319,PT_DIFFERENTIATION_VTAR_ID,0))</f>
        <v>Тариф на подключение (технологическое присоединение) к централизованной системе холодного водоснабжения</v>
      </c>
      <c r="G319" s="2428" t="str">
        <f>INDEX(PT_DIFFERENTIATION_NTAR,MATCH(B319,PT_DIFFERENTIATION_NTAR_ID,0))</f>
        <v/>
      </c>
      <c r="H319" s="1863"/>
      <c r="I319" s="1740"/>
      <c r="J319" s="1774"/>
      <c r="K319" s="1779"/>
      <c r="L319" s="1863" t="s">
        <v>323</v>
      </c>
      <c r="M319" s="342"/>
      <c r="N319" s="335"/>
      <c r="O319" s="1625"/>
      <c r="P319" s="1625"/>
      <c r="AH319" s="1632">
        <v>0</v>
      </c>
    </row>
    <row s="1636" customFormat="1" customHeight="1" ht="18.75" hidden="1">
      <c r="A320" s="1781"/>
      <c r="B320" s="1781"/>
      <c r="C320" s="370" t="s">
        <v>1164</v>
      </c>
      <c r="D320" s="2463"/>
      <c r="E320" s="2205"/>
      <c r="F320" s="2384"/>
      <c r="G320" s="2428"/>
      <c r="H320" s="1501"/>
      <c r="I320" s="652" t="s">
        <v>1163</v>
      </c>
      <c r="J320" s="572"/>
      <c r="K320" s="1501"/>
      <c r="L320" s="215"/>
      <c r="M320" s="342"/>
      <c r="N320" s="335"/>
      <c r="O320" s="1625"/>
      <c r="P320" s="1625"/>
      <c r="AH320" s="1632">
        <v>0</v>
      </c>
    </row>
    <row s="1636" customFormat="1" customHeight="1" ht="0.75" hidden="1">
      <c r="A321" s="1781"/>
      <c r="B321" s="1781"/>
      <c r="C321" s="370" t="s">
        <v>1173</v>
      </c>
      <c r="D321" s="2463"/>
      <c r="E321" s="2205"/>
      <c r="F321" s="2384"/>
      <c r="G321" s="401"/>
      <c r="H321" s="1501"/>
      <c r="I321" s="652"/>
      <c r="J321" s="572"/>
      <c r="K321" s="1501"/>
      <c r="L321" s="215"/>
      <c r="M321" s="342"/>
      <c r="N321" s="335"/>
      <c r="O321" s="1625"/>
      <c r="P321" s="1625"/>
      <c r="AH321" s="1632">
        <v>0</v>
      </c>
    </row>
    <row s="1636" customFormat="1" customHeight="1" ht="18.75" hidden="1">
      <c r="A322" s="1781" t="s">
        <v>267</v>
      </c>
      <c r="B322" s="1781" t="s">
        <v>268</v>
      </c>
      <c r="C322" s="370"/>
      <c r="D322" s="2463"/>
      <c r="E322" s="2205"/>
      <c r="F322" s="2384" t="str">
        <f>INDEX(PT_DIFFERENTIATION_VTAR,MATCH(A322,PT_DIFFERENTIATION_VTAR_ID,0))</f>
        <v>Тариф на горячую воду (горячее водоснабжение)</v>
      </c>
      <c r="G322" s="2428" t="str">
        <f>INDEX(PT_DIFFERENTIATION_NTAR,MATCH(B322,PT_DIFFERENTIATION_NTAR_ID,0))</f>
        <v/>
      </c>
      <c r="H322" s="1863"/>
      <c r="I322" s="1740"/>
      <c r="J322" s="1774"/>
      <c r="K322" s="1779"/>
      <c r="L322" s="1863" t="s">
        <v>323</v>
      </c>
      <c r="M322" s="342"/>
      <c r="N322" s="335"/>
      <c r="O322" s="1625"/>
      <c r="P322" s="1625"/>
      <c r="AH322" s="1632">
        <v>0</v>
      </c>
    </row>
    <row s="1636" customFormat="1" customHeight="1" ht="18.75" hidden="1">
      <c r="A323" s="1781"/>
      <c r="B323" s="1781"/>
      <c r="C323" s="370" t="s">
        <v>1164</v>
      </c>
      <c r="D323" s="2463"/>
      <c r="E323" s="2205"/>
      <c r="F323" s="2384"/>
      <c r="G323" s="2428"/>
      <c r="H323" s="1501"/>
      <c r="I323" s="652" t="s">
        <v>1163</v>
      </c>
      <c r="J323" s="572"/>
      <c r="K323" s="1501"/>
      <c r="L323" s="215"/>
      <c r="M323" s="342"/>
      <c r="N323" s="335"/>
      <c r="O323" s="1625"/>
      <c r="P323" s="1625"/>
      <c r="AH323" s="1632">
        <v>0</v>
      </c>
    </row>
    <row s="1636" customFormat="1" customHeight="1" ht="0.75" hidden="1">
      <c r="A324" s="1781"/>
      <c r="B324" s="1781"/>
      <c r="C324" s="370" t="s">
        <v>1173</v>
      </c>
      <c r="D324" s="2463"/>
      <c r="E324" s="2205"/>
      <c r="F324" s="2384"/>
      <c r="G324" s="401"/>
      <c r="H324" s="1501"/>
      <c r="I324" s="652"/>
      <c r="J324" s="572"/>
      <c r="K324" s="1501"/>
      <c r="L324" s="215"/>
      <c r="M324" s="342"/>
      <c r="N324" s="335"/>
      <c r="O324" s="1625"/>
      <c r="P324" s="1625"/>
      <c r="AH324" s="1632">
        <v>0</v>
      </c>
    </row>
    <row s="1636" customFormat="1" customHeight="1" ht="18.75" hidden="1">
      <c r="A325" s="1781" t="s">
        <v>272</v>
      </c>
      <c r="B325" s="1781" t="s">
        <v>273</v>
      </c>
      <c r="C325" s="370"/>
      <c r="D325" s="2463"/>
      <c r="E325" s="2205"/>
      <c r="F325" s="2384" t="str">
        <f>INDEX(PT_DIFFERENTIATION_VTAR,MATCH(A325,PT_DIFFERENTIATION_VTAR_ID,0))</f>
        <v>Тариф на транспортировку горячей воды</v>
      </c>
      <c r="G325" s="2428" t="str">
        <f>INDEX(PT_DIFFERENTIATION_NTAR,MATCH(B325,PT_DIFFERENTIATION_NTAR_ID,0))</f>
        <v/>
      </c>
      <c r="H325" s="1863"/>
      <c r="I325" s="1740"/>
      <c r="J325" s="1774"/>
      <c r="K325" s="1779"/>
      <c r="L325" s="1863" t="s">
        <v>323</v>
      </c>
      <c r="M325" s="342"/>
      <c r="N325" s="335"/>
      <c r="O325" s="1625"/>
      <c r="P325" s="1625"/>
      <c r="AH325" s="1632">
        <v>0</v>
      </c>
    </row>
    <row s="1636" customFormat="1" customHeight="1" ht="18.75" hidden="1">
      <c r="A326" s="1781"/>
      <c r="B326" s="1781"/>
      <c r="C326" s="370" t="s">
        <v>1164</v>
      </c>
      <c r="D326" s="2463"/>
      <c r="E326" s="2205"/>
      <c r="F326" s="2384"/>
      <c r="G326" s="2428"/>
      <c r="H326" s="1501"/>
      <c r="I326" s="652" t="s">
        <v>1163</v>
      </c>
      <c r="J326" s="572"/>
      <c r="K326" s="1501"/>
      <c r="L326" s="215"/>
      <c r="M326" s="342"/>
      <c r="N326" s="335"/>
      <c r="O326" s="1625"/>
      <c r="P326" s="1625"/>
      <c r="AH326" s="1632">
        <v>0</v>
      </c>
    </row>
    <row s="1636" customFormat="1" customHeight="1" ht="0.75" hidden="1">
      <c r="A327" s="1781"/>
      <c r="B327" s="1781"/>
      <c r="C327" s="370" t="s">
        <v>1173</v>
      </c>
      <c r="D327" s="2463"/>
      <c r="E327" s="2205"/>
      <c r="F327" s="2384"/>
      <c r="G327" s="401"/>
      <c r="H327" s="1501"/>
      <c r="I327" s="652"/>
      <c r="J327" s="572"/>
      <c r="K327" s="1501"/>
      <c r="L327" s="215"/>
      <c r="M327" s="342"/>
      <c r="N327" s="335"/>
      <c r="O327" s="1625"/>
      <c r="P327" s="1625"/>
      <c r="AH327" s="1632">
        <v>0</v>
      </c>
    </row>
    <row s="1636" customFormat="1" customHeight="1" ht="18.75" hidden="1">
      <c r="A328" s="1781" t="s">
        <v>277</v>
      </c>
      <c r="B328" s="1781" t="s">
        <v>278</v>
      </c>
      <c r="C328" s="370"/>
      <c r="D328" s="2463"/>
      <c r="E328" s="2205"/>
      <c r="F328" s="2384" t="str">
        <f>INDEX(PT_DIFFERENTIATION_VTAR,MATCH(A328,PT_DIFFERENTIATION_VTAR_ID,0))</f>
        <v>Тариф на подключение (технологическое присоединение) к централизованной системе горячего водоснабжения</v>
      </c>
      <c r="G328" s="2428" t="str">
        <f>INDEX(PT_DIFFERENTIATION_NTAR,MATCH(B328,PT_DIFFERENTIATION_NTAR_ID,0))</f>
        <v/>
      </c>
      <c r="H328" s="1863"/>
      <c r="I328" s="1740"/>
      <c r="J328" s="1774"/>
      <c r="K328" s="1779"/>
      <c r="L328" s="1863" t="s">
        <v>323</v>
      </c>
      <c r="M328" s="342"/>
      <c r="N328" s="335"/>
      <c r="O328" s="1625"/>
      <c r="P328" s="1625"/>
      <c r="AH328" s="1632">
        <v>0</v>
      </c>
    </row>
    <row s="1636" customFormat="1" customHeight="1" ht="18.75" hidden="1">
      <c r="A329" s="1781"/>
      <c r="B329" s="1781"/>
      <c r="C329" s="370" t="s">
        <v>1164</v>
      </c>
      <c r="D329" s="2463"/>
      <c r="E329" s="2205"/>
      <c r="F329" s="2384"/>
      <c r="G329" s="2428"/>
      <c r="H329" s="1501"/>
      <c r="I329" s="652" t="s">
        <v>1163</v>
      </c>
      <c r="J329" s="572"/>
      <c r="K329" s="1501"/>
      <c r="L329" s="215"/>
      <c r="M329" s="342"/>
      <c r="N329" s="335"/>
      <c r="O329" s="1625"/>
      <c r="P329" s="1625"/>
      <c r="AH329" s="1632">
        <v>0</v>
      </c>
    </row>
    <row s="1636" customFormat="1" customHeight="1" ht="0.75" hidden="1">
      <c r="A330" s="1781"/>
      <c r="B330" s="1781"/>
      <c r="C330" s="370" t="s">
        <v>1173</v>
      </c>
      <c r="D330" s="2463"/>
      <c r="E330" s="2205"/>
      <c r="F330" s="2384"/>
      <c r="G330" s="401"/>
      <c r="H330" s="1501"/>
      <c r="I330" s="652"/>
      <c r="J330" s="572"/>
      <c r="K330" s="1501"/>
      <c r="L330" s="215"/>
      <c r="M330" s="342"/>
      <c r="N330" s="335"/>
      <c r="O330" s="1625"/>
      <c r="P330" s="1625"/>
      <c r="AH330" s="1632">
        <v>0</v>
      </c>
    </row>
    <row s="1636" customFormat="1" customHeight="1" ht="18.75" hidden="1">
      <c r="A331" s="1781" t="s">
        <v>282</v>
      </c>
      <c r="B331" s="1781" t="s">
        <v>283</v>
      </c>
      <c r="C331" s="370"/>
      <c r="D331" s="2463"/>
      <c r="E331" s="2205"/>
      <c r="F331" s="2384" t="str">
        <f>INDEX(PT_DIFFERENTIATION_VTAR,MATCH(A331,PT_DIFFERENTIATION_VTAR_ID,0))</f>
        <v>Тариф на водоотведение</v>
      </c>
      <c r="G331" s="2428" t="str">
        <f>INDEX(PT_DIFFERENTIATION_NTAR,MATCH(B331,PT_DIFFERENTIATION_NTAR_ID,0))</f>
        <v/>
      </c>
      <c r="H331" s="1863"/>
      <c r="I331" s="1740"/>
      <c r="J331" s="1774"/>
      <c r="K331" s="1779"/>
      <c r="L331" s="1863" t="s">
        <v>323</v>
      </c>
      <c r="M331" s="342"/>
      <c r="N331" s="335"/>
      <c r="O331" s="1625"/>
      <c r="P331" s="1625"/>
      <c r="AH331" s="1632">
        <v>0</v>
      </c>
    </row>
    <row s="1636" customFormat="1" customHeight="1" ht="18.75" hidden="1">
      <c r="A332" s="1781"/>
      <c r="B332" s="1781"/>
      <c r="C332" s="370" t="s">
        <v>1164</v>
      </c>
      <c r="D332" s="2463"/>
      <c r="E332" s="2205"/>
      <c r="F332" s="2384"/>
      <c r="G332" s="2428"/>
      <c r="H332" s="1501"/>
      <c r="I332" s="652" t="s">
        <v>1163</v>
      </c>
      <c r="J332" s="572"/>
      <c r="K332" s="1501"/>
      <c r="L332" s="215"/>
      <c r="M332" s="342"/>
      <c r="N332" s="335"/>
      <c r="O332" s="1625"/>
      <c r="P332" s="1625"/>
      <c r="AH332" s="1632">
        <v>0</v>
      </c>
    </row>
    <row s="1636" customFormat="1" customHeight="1" ht="0.75" hidden="1">
      <c r="A333" s="1781"/>
      <c r="B333" s="1781"/>
      <c r="C333" s="370" t="s">
        <v>1173</v>
      </c>
      <c r="D333" s="2463"/>
      <c r="E333" s="2205"/>
      <c r="F333" s="2384"/>
      <c r="G333" s="401"/>
      <c r="H333" s="1501"/>
      <c r="I333" s="652"/>
      <c r="J333" s="572"/>
      <c r="K333" s="1501"/>
      <c r="L333" s="215"/>
      <c r="M333" s="342"/>
      <c r="N333" s="335"/>
      <c r="O333" s="1625"/>
      <c r="P333" s="1625"/>
      <c r="AH333" s="1632">
        <v>0</v>
      </c>
    </row>
    <row s="1636" customFormat="1" customHeight="1" ht="18.75" hidden="1">
      <c r="A334" s="1781" t="s">
        <v>287</v>
      </c>
      <c r="B334" s="1781" t="s">
        <v>288</v>
      </c>
      <c r="C334" s="370"/>
      <c r="D334" s="2463"/>
      <c r="E334" s="2205"/>
      <c r="F334" s="2384" t="str">
        <f>INDEX(PT_DIFFERENTIATION_VTAR,MATCH(A334,PT_DIFFERENTIATION_VTAR_ID,0))</f>
        <v>Тариф на транспортировку сточных вод</v>
      </c>
      <c r="G334" s="2428" t="str">
        <f>INDEX(PT_DIFFERENTIATION_NTAR,MATCH(B334,PT_DIFFERENTIATION_NTAR_ID,0))</f>
        <v/>
      </c>
      <c r="H334" s="1863"/>
      <c r="I334" s="1740"/>
      <c r="J334" s="1774"/>
      <c r="K334" s="1779"/>
      <c r="L334" s="1863" t="s">
        <v>323</v>
      </c>
      <c r="M334" s="342"/>
      <c r="N334" s="335"/>
      <c r="O334" s="1625"/>
      <c r="P334" s="1625"/>
      <c r="AH334" s="1632">
        <v>0</v>
      </c>
    </row>
    <row s="1636" customFormat="1" customHeight="1" ht="18.75" hidden="1">
      <c r="A335" s="1781"/>
      <c r="B335" s="1781"/>
      <c r="C335" s="370" t="s">
        <v>1164</v>
      </c>
      <c r="D335" s="2463"/>
      <c r="E335" s="2205"/>
      <c r="F335" s="2384"/>
      <c r="G335" s="2428"/>
      <c r="H335" s="1501"/>
      <c r="I335" s="652" t="s">
        <v>1163</v>
      </c>
      <c r="J335" s="572"/>
      <c r="K335" s="1501"/>
      <c r="L335" s="215"/>
      <c r="M335" s="342"/>
      <c r="N335" s="335"/>
      <c r="O335" s="1625"/>
      <c r="P335" s="1625"/>
      <c r="AH335" s="1632">
        <v>0</v>
      </c>
    </row>
    <row s="1636" customFormat="1" customHeight="1" ht="0.75" hidden="1">
      <c r="A336" s="1781"/>
      <c r="B336" s="1781"/>
      <c r="C336" s="370" t="s">
        <v>1173</v>
      </c>
      <c r="D336" s="2463"/>
      <c r="E336" s="2205"/>
      <c r="F336" s="2384"/>
      <c r="G336" s="401"/>
      <c r="H336" s="1501"/>
      <c r="I336" s="652"/>
      <c r="J336" s="572"/>
      <c r="K336" s="1501"/>
      <c r="L336" s="215"/>
      <c r="M336" s="342"/>
      <c r="N336" s="335"/>
      <c r="O336" s="1625"/>
      <c r="P336" s="1625"/>
      <c r="AH336" s="1632">
        <v>0</v>
      </c>
    </row>
    <row s="1636" customFormat="1" customHeight="1" ht="18.75" hidden="1">
      <c r="A337" s="1781" t="s">
        <v>292</v>
      </c>
      <c r="B337" s="1781" t="s">
        <v>293</v>
      </c>
      <c r="C337" s="370"/>
      <c r="D337" s="2463"/>
      <c r="E337" s="2205"/>
      <c r="F337" s="2384" t="str">
        <f>INDEX(PT_DIFFERENTIATION_VTAR,MATCH(A337,PT_DIFFERENTIATION_VTAR_ID,0))</f>
        <v>Тариф на подключение (технологическое присоединение) к централизованной системе водоотведения</v>
      </c>
      <c r="G337" s="2428" t="str">
        <f>INDEX(PT_DIFFERENTIATION_NTAR,MATCH(B337,PT_DIFFERENTIATION_NTAR_ID,0))</f>
        <v/>
      </c>
      <c r="H337" s="1863"/>
      <c r="I337" s="1740"/>
      <c r="J337" s="1774"/>
      <c r="K337" s="1779"/>
      <c r="L337" s="1863" t="s">
        <v>323</v>
      </c>
      <c r="M337" s="342"/>
      <c r="N337" s="335"/>
      <c r="O337" s="1625"/>
      <c r="P337" s="1625"/>
      <c r="AH337" s="1632">
        <v>0</v>
      </c>
    </row>
    <row s="1636" customFormat="1" customHeight="1" ht="18.75" hidden="1">
      <c r="A338" s="1781"/>
      <c r="B338" s="1781"/>
      <c r="C338" s="370" t="s">
        <v>1164</v>
      </c>
      <c r="D338" s="2463"/>
      <c r="E338" s="2205"/>
      <c r="F338" s="2384"/>
      <c r="G338" s="2428"/>
      <c r="H338" s="1501"/>
      <c r="I338" s="652" t="s">
        <v>1163</v>
      </c>
      <c r="J338" s="572"/>
      <c r="K338" s="1501"/>
      <c r="L338" s="215"/>
      <c r="M338" s="342"/>
      <c r="N338" s="335"/>
      <c r="O338" s="1625"/>
      <c r="P338" s="1625"/>
      <c r="AH338" s="1632">
        <v>0</v>
      </c>
    </row>
    <row s="1636" customFormat="1" customHeight="1" ht="1.05">
      <c r="A339" s="1781"/>
      <c r="B339" s="1781"/>
      <c r="C339" s="370" t="s">
        <v>1173</v>
      </c>
      <c r="D339" s="2463"/>
      <c r="E339" s="2205"/>
      <c r="F339" s="2384"/>
      <c r="G339" s="401"/>
      <c r="H339" s="1501"/>
      <c r="I339" s="652"/>
      <c r="J339" s="572"/>
      <c r="K339" s="1501"/>
      <c r="L339" s="215"/>
      <c r="M339" s="342"/>
      <c r="N339" s="335"/>
      <c r="O339" s="1625"/>
      <c r="P339" s="1625"/>
      <c r="AH339" s="1632">
        <v>1</v>
      </c>
    </row>
    <row s="1824" customFormat="1" customHeight="1" ht="3">
      <c r="A340" s="1781"/>
      <c r="B340" s="1781"/>
      <c r="C340" s="1782"/>
      <c r="E340" s="403"/>
      <c r="F340" s="403"/>
      <c r="G340" s="403"/>
      <c r="H340" s="403"/>
      <c r="I340" s="403"/>
      <c r="J340" s="403"/>
      <c r="K340" s="403"/>
      <c r="L340" s="403"/>
      <c r="M340" s="403"/>
      <c r="O340" s="197"/>
      <c r="P340" s="197"/>
      <c r="AH340" s="141">
        <v>3</v>
      </c>
    </row>
    <row customHeight="1" ht="26.25">
      <c r="E341" s="203"/>
      <c r="F341" s="2286"/>
      <c r="G341" s="2286"/>
      <c r="H341" s="2286"/>
      <c r="I341" s="2286"/>
      <c r="J341" s="2286"/>
      <c r="K341" s="2286"/>
      <c r="L341" s="2286"/>
      <c r="M341" s="2286"/>
      <c r="AH341" s="375">
        <v>25</v>
      </c>
    </row>
    <row customHeight="1" ht="14.25" hidden="1">
      <c r="A342" s="1780" t="s">
        <v>83</v>
      </c>
      <c r="B342" s="1780">
        <v>0</v>
      </c>
      <c r="C342" s="370">
        <v>0</v>
      </c>
      <c r="D342" s="345">
        <v>3</v>
      </c>
      <c r="E342" s="375">
        <v>6</v>
      </c>
      <c r="F342" s="375">
        <v>46</v>
      </c>
      <c r="G342" s="375">
        <v>35</v>
      </c>
      <c r="H342" s="375">
        <v>3</v>
      </c>
      <c r="I342" s="375">
        <v>11</v>
      </c>
      <c r="J342" s="375">
        <v>11</v>
      </c>
      <c r="K342" s="375">
        <v>35</v>
      </c>
      <c r="L342" s="375">
        <v>35</v>
      </c>
      <c r="M342" s="375">
        <v>84</v>
      </c>
      <c r="N342" s="375">
        <v>10</v>
      </c>
      <c r="O342" s="351">
        <v>10</v>
      </c>
      <c r="P342" s="351">
        <v>10</v>
      </c>
      <c r="Q342" s="375">
        <v>10</v>
      </c>
      <c r="R342" s="375">
        <v>10</v>
      </c>
      <c r="S342" s="375">
        <v>10</v>
      </c>
      <c r="T342" s="375">
        <v>10</v>
      </c>
      <c r="U342" s="375">
        <v>10</v>
      </c>
      <c r="V342" s="375">
        <v>10</v>
      </c>
      <c r="W342" s="375">
        <v>10</v>
      </c>
      <c r="X342" s="375">
        <v>10</v>
      </c>
      <c r="Y342" s="375">
        <v>10</v>
      </c>
      <c r="Z342" s="375">
        <v>10</v>
      </c>
      <c r="AA342" s="375">
        <v>10</v>
      </c>
      <c r="AB342" s="375">
        <v>10</v>
      </c>
      <c r="AC342" s="375">
        <v>10</v>
      </c>
      <c r="AD342" s="375">
        <v>10</v>
      </c>
      <c r="AE342" s="375">
        <v>10</v>
      </c>
      <c r="AF342" s="375">
        <v>10</v>
      </c>
      <c r="AG342" s="375">
        <v>10</v>
      </c>
      <c r="AH342" s="375">
        <v>14</v>
      </c>
    </row>
  </sheetData>
  <sheetProtection formatColumns="0" formatRows="0" autoFilter="0" sort="0" insertRows="0" insertColumns="1" deleteRows="0" deleteColumns="0"/>
  <mergeCells count="433">
    <mergeCell ref="G50:G51"/>
    <mergeCell ref="D115:D117"/>
    <mergeCell ref="E115:E117"/>
    <mergeCell ref="F115:F117"/>
    <mergeCell ref="G115:G116"/>
    <mergeCell ref="D178:D180"/>
    <mergeCell ref="E178:E180"/>
    <mergeCell ref="F178:F180"/>
    <mergeCell ref="G178:G179"/>
    <mergeCell ref="D71:D73"/>
    <mergeCell ref="E71:E73"/>
    <mergeCell ref="F71:F73"/>
    <mergeCell ref="D92:D96"/>
    <mergeCell ref="E92:E96"/>
    <mergeCell ref="D74:D76"/>
    <mergeCell ref="E74:E76"/>
    <mergeCell ref="F74:F76"/>
    <mergeCell ref="G163:G164"/>
    <mergeCell ref="G166:G167"/>
    <mergeCell ref="E50:E52"/>
    <mergeCell ref="F50:F52"/>
    <mergeCell ref="G100:G101"/>
    <mergeCell ref="G103:G104"/>
    <mergeCell ref="D77:D79"/>
    <mergeCell ref="F41:F43"/>
    <mergeCell ref="G2:G3"/>
    <mergeCell ref="G5:G6"/>
    <mergeCell ref="E14:L14"/>
    <mergeCell ref="G16:L16"/>
    <mergeCell ref="G17:L17"/>
    <mergeCell ref="E19:L19"/>
    <mergeCell ref="D24:D26"/>
    <mergeCell ref="M19:M21"/>
    <mergeCell ref="E20:E21"/>
    <mergeCell ref="F20:F21"/>
    <mergeCell ref="G20:G21"/>
    <mergeCell ref="H20:J20"/>
    <mergeCell ref="K20:K21"/>
    <mergeCell ref="L20:L21"/>
    <mergeCell ref="H21:I21"/>
    <mergeCell ref="H22:I22"/>
    <mergeCell ref="F23:L23"/>
    <mergeCell ref="G24:G25"/>
    <mergeCell ref="F24:F26"/>
    <mergeCell ref="E24:E26"/>
    <mergeCell ref="F316:F318"/>
    <mergeCell ref="G313:G314"/>
    <mergeCell ref="D44:D46"/>
    <mergeCell ref="E44:E46"/>
    <mergeCell ref="F44:F46"/>
    <mergeCell ref="D27:D31"/>
    <mergeCell ref="E27:E31"/>
    <mergeCell ref="F27:F31"/>
    <mergeCell ref="D32:D34"/>
    <mergeCell ref="E32:E34"/>
    <mergeCell ref="F32:F34"/>
    <mergeCell ref="D35:D37"/>
    <mergeCell ref="E35:E37"/>
    <mergeCell ref="F35:F37"/>
    <mergeCell ref="G27:G28"/>
    <mergeCell ref="G32:G33"/>
    <mergeCell ref="G35:G36"/>
    <mergeCell ref="G38:G39"/>
    <mergeCell ref="G41:G42"/>
    <mergeCell ref="D38:D40"/>
    <mergeCell ref="E38:E40"/>
    <mergeCell ref="F38:F40"/>
    <mergeCell ref="D41:D43"/>
    <mergeCell ref="E41:E43"/>
    <mergeCell ref="F341:M341"/>
    <mergeCell ref="F277:L277"/>
    <mergeCell ref="D278:D280"/>
    <mergeCell ref="E278:E280"/>
    <mergeCell ref="F278:F280"/>
    <mergeCell ref="D281:D285"/>
    <mergeCell ref="E281:E285"/>
    <mergeCell ref="F281:F285"/>
    <mergeCell ref="D286:D288"/>
    <mergeCell ref="D292:D294"/>
    <mergeCell ref="E292:E294"/>
    <mergeCell ref="F292:F294"/>
    <mergeCell ref="D295:D297"/>
    <mergeCell ref="E295:E297"/>
    <mergeCell ref="F295:F297"/>
    <mergeCell ref="E286:E288"/>
    <mergeCell ref="F286:F288"/>
    <mergeCell ref="D289:D291"/>
    <mergeCell ref="E289:E291"/>
    <mergeCell ref="F313:F315"/>
    <mergeCell ref="D316:D318"/>
    <mergeCell ref="E316:E318"/>
    <mergeCell ref="D337:D339"/>
    <mergeCell ref="E337:E339"/>
    <mergeCell ref="G47:G48"/>
    <mergeCell ref="G53:G54"/>
    <mergeCell ref="G56:G57"/>
    <mergeCell ref="G59:G60"/>
    <mergeCell ref="M215:M218"/>
    <mergeCell ref="M89:M92"/>
    <mergeCell ref="F151:L151"/>
    <mergeCell ref="M152:M155"/>
    <mergeCell ref="F214:L214"/>
    <mergeCell ref="F53:F55"/>
    <mergeCell ref="F56:F58"/>
    <mergeCell ref="F77:F79"/>
    <mergeCell ref="F80:F82"/>
    <mergeCell ref="F92:F96"/>
    <mergeCell ref="F97:F99"/>
    <mergeCell ref="M24:M85"/>
    <mergeCell ref="G44:G45"/>
    <mergeCell ref="G133:G134"/>
    <mergeCell ref="G136:G137"/>
    <mergeCell ref="G139:G140"/>
    <mergeCell ref="G142:G143"/>
    <mergeCell ref="G160:G161"/>
    <mergeCell ref="G92:G93"/>
    <mergeCell ref="G97:G98"/>
    <mergeCell ref="D47:D49"/>
    <mergeCell ref="E47:E49"/>
    <mergeCell ref="F47:F49"/>
    <mergeCell ref="D65:D67"/>
    <mergeCell ref="E65:E67"/>
    <mergeCell ref="F65:F67"/>
    <mergeCell ref="D68:D70"/>
    <mergeCell ref="E68:E70"/>
    <mergeCell ref="F68:F70"/>
    <mergeCell ref="D59:D61"/>
    <mergeCell ref="E59:E61"/>
    <mergeCell ref="F59:F61"/>
    <mergeCell ref="D62:D64"/>
    <mergeCell ref="E62:E64"/>
    <mergeCell ref="F62:F64"/>
    <mergeCell ref="D53:D55"/>
    <mergeCell ref="E53:E55"/>
    <mergeCell ref="D56:D58"/>
    <mergeCell ref="E56:E58"/>
    <mergeCell ref="D50:D52"/>
    <mergeCell ref="E77:E79"/>
    <mergeCell ref="D80:D82"/>
    <mergeCell ref="E80:E82"/>
    <mergeCell ref="D97:D99"/>
    <mergeCell ref="E97:E99"/>
    <mergeCell ref="D112:D114"/>
    <mergeCell ref="E112:E114"/>
    <mergeCell ref="F112:F114"/>
    <mergeCell ref="F100:F102"/>
    <mergeCell ref="D103:D105"/>
    <mergeCell ref="E103:E105"/>
    <mergeCell ref="F103:F105"/>
    <mergeCell ref="D83:D85"/>
    <mergeCell ref="E83:E85"/>
    <mergeCell ref="F83:F85"/>
    <mergeCell ref="D89:D91"/>
    <mergeCell ref="E89:E91"/>
    <mergeCell ref="F89:F91"/>
    <mergeCell ref="D100:D102"/>
    <mergeCell ref="E100:E102"/>
    <mergeCell ref="F86:L86"/>
    <mergeCell ref="H87:I87"/>
    <mergeCell ref="F88:L88"/>
    <mergeCell ref="G106:G107"/>
    <mergeCell ref="D118:D120"/>
    <mergeCell ref="E118:E120"/>
    <mergeCell ref="F118:F120"/>
    <mergeCell ref="D106:D108"/>
    <mergeCell ref="E106:E108"/>
    <mergeCell ref="F106:F108"/>
    <mergeCell ref="D109:D111"/>
    <mergeCell ref="E109:E111"/>
    <mergeCell ref="F109:F111"/>
    <mergeCell ref="D121:D123"/>
    <mergeCell ref="E121:E123"/>
    <mergeCell ref="F121:F123"/>
    <mergeCell ref="D124:D126"/>
    <mergeCell ref="E124:E126"/>
    <mergeCell ref="F124:F126"/>
    <mergeCell ref="G124:G125"/>
    <mergeCell ref="G127:G128"/>
    <mergeCell ref="G130:G131"/>
    <mergeCell ref="D127:D129"/>
    <mergeCell ref="E127:E129"/>
    <mergeCell ref="F127:F129"/>
    <mergeCell ref="D130:D132"/>
    <mergeCell ref="E130:E132"/>
    <mergeCell ref="F130:F132"/>
    <mergeCell ref="D139:D141"/>
    <mergeCell ref="E139:E141"/>
    <mergeCell ref="F139:F141"/>
    <mergeCell ref="D142:D144"/>
    <mergeCell ref="E142:E144"/>
    <mergeCell ref="F142:F144"/>
    <mergeCell ref="D133:D135"/>
    <mergeCell ref="E133:E135"/>
    <mergeCell ref="F133:F135"/>
    <mergeCell ref="D136:D138"/>
    <mergeCell ref="E136:E138"/>
    <mergeCell ref="F136:F138"/>
    <mergeCell ref="G145:G146"/>
    <mergeCell ref="G148:G149"/>
    <mergeCell ref="G152:G153"/>
    <mergeCell ref="G155:G156"/>
    <mergeCell ref="D166:D168"/>
    <mergeCell ref="E166:E168"/>
    <mergeCell ref="F166:F168"/>
    <mergeCell ref="D169:D171"/>
    <mergeCell ref="E169:E171"/>
    <mergeCell ref="F169:F171"/>
    <mergeCell ref="D160:D162"/>
    <mergeCell ref="D155:D159"/>
    <mergeCell ref="E155:E159"/>
    <mergeCell ref="F155:F159"/>
    <mergeCell ref="D145:D147"/>
    <mergeCell ref="E145:E147"/>
    <mergeCell ref="F145:F147"/>
    <mergeCell ref="D148:D150"/>
    <mergeCell ref="E148:E150"/>
    <mergeCell ref="F148:F150"/>
    <mergeCell ref="D152:D154"/>
    <mergeCell ref="E152:E154"/>
    <mergeCell ref="F152:F154"/>
    <mergeCell ref="E160:E162"/>
    <mergeCell ref="F160:F162"/>
    <mergeCell ref="D163:D165"/>
    <mergeCell ref="E163:E165"/>
    <mergeCell ref="F163:F165"/>
    <mergeCell ref="D172:D174"/>
    <mergeCell ref="E172:E174"/>
    <mergeCell ref="F172:F174"/>
    <mergeCell ref="D175:D177"/>
    <mergeCell ref="E175:E177"/>
    <mergeCell ref="F175:F177"/>
    <mergeCell ref="D196:D198"/>
    <mergeCell ref="E196:E198"/>
    <mergeCell ref="F196:F198"/>
    <mergeCell ref="D187:D189"/>
    <mergeCell ref="E187:E189"/>
    <mergeCell ref="F187:F189"/>
    <mergeCell ref="D190:D192"/>
    <mergeCell ref="E190:E192"/>
    <mergeCell ref="F190:F192"/>
    <mergeCell ref="D181:D183"/>
    <mergeCell ref="E181:E183"/>
    <mergeCell ref="F181:F183"/>
    <mergeCell ref="D184:D186"/>
    <mergeCell ref="E184:E186"/>
    <mergeCell ref="F184:F186"/>
    <mergeCell ref="G184:G185"/>
    <mergeCell ref="D193:D195"/>
    <mergeCell ref="E193:E195"/>
    <mergeCell ref="F193:F195"/>
    <mergeCell ref="D199:D201"/>
    <mergeCell ref="E199:E201"/>
    <mergeCell ref="F199:F201"/>
    <mergeCell ref="D202:D204"/>
    <mergeCell ref="E202:E204"/>
    <mergeCell ref="F202:F204"/>
    <mergeCell ref="G199:G200"/>
    <mergeCell ref="G202:G203"/>
    <mergeCell ref="D223:D225"/>
    <mergeCell ref="E223:E225"/>
    <mergeCell ref="F223:F225"/>
    <mergeCell ref="D211:D213"/>
    <mergeCell ref="E211:E213"/>
    <mergeCell ref="F211:F213"/>
    <mergeCell ref="D215:D217"/>
    <mergeCell ref="E215:E217"/>
    <mergeCell ref="F215:F217"/>
    <mergeCell ref="D205:D207"/>
    <mergeCell ref="E205:E207"/>
    <mergeCell ref="F205:F207"/>
    <mergeCell ref="D208:D210"/>
    <mergeCell ref="E208:E210"/>
    <mergeCell ref="F208:F210"/>
    <mergeCell ref="G208:G209"/>
    <mergeCell ref="D232:D234"/>
    <mergeCell ref="E232:E234"/>
    <mergeCell ref="F232:F234"/>
    <mergeCell ref="D235:D237"/>
    <mergeCell ref="E235:E237"/>
    <mergeCell ref="F235:F237"/>
    <mergeCell ref="G235:G236"/>
    <mergeCell ref="D218:D222"/>
    <mergeCell ref="E218:E222"/>
    <mergeCell ref="F218:F222"/>
    <mergeCell ref="D226:D228"/>
    <mergeCell ref="E226:E228"/>
    <mergeCell ref="F226:F228"/>
    <mergeCell ref="D229:D231"/>
    <mergeCell ref="E229:E231"/>
    <mergeCell ref="F229:F231"/>
    <mergeCell ref="D247:D249"/>
    <mergeCell ref="E247:E249"/>
    <mergeCell ref="F247:F249"/>
    <mergeCell ref="G241:G242"/>
    <mergeCell ref="D253:D255"/>
    <mergeCell ref="E253:E255"/>
    <mergeCell ref="F253:F255"/>
    <mergeCell ref="D250:D252"/>
    <mergeCell ref="E250:E252"/>
    <mergeCell ref="F250:F252"/>
    <mergeCell ref="D238:D240"/>
    <mergeCell ref="E238:E240"/>
    <mergeCell ref="F238:F240"/>
    <mergeCell ref="D244:D246"/>
    <mergeCell ref="E244:E246"/>
    <mergeCell ref="F244:F246"/>
    <mergeCell ref="D241:D243"/>
    <mergeCell ref="E241:E243"/>
    <mergeCell ref="F241:F243"/>
    <mergeCell ref="D256:D258"/>
    <mergeCell ref="E256:E258"/>
    <mergeCell ref="F256:F258"/>
    <mergeCell ref="G253:G254"/>
    <mergeCell ref="G256:G257"/>
    <mergeCell ref="G259:G260"/>
    <mergeCell ref="D274:D276"/>
    <mergeCell ref="E274:E276"/>
    <mergeCell ref="F274:F276"/>
    <mergeCell ref="D265:D267"/>
    <mergeCell ref="E265:E267"/>
    <mergeCell ref="F265:F267"/>
    <mergeCell ref="D268:D270"/>
    <mergeCell ref="E268:E270"/>
    <mergeCell ref="F268:F270"/>
    <mergeCell ref="D259:D261"/>
    <mergeCell ref="E259:E261"/>
    <mergeCell ref="F259:F261"/>
    <mergeCell ref="D262:D264"/>
    <mergeCell ref="E262:E264"/>
    <mergeCell ref="F262:F264"/>
    <mergeCell ref="G262:G263"/>
    <mergeCell ref="D271:D273"/>
    <mergeCell ref="E271:E273"/>
    <mergeCell ref="F271:F273"/>
    <mergeCell ref="F289:F291"/>
    <mergeCell ref="D307:D309"/>
    <mergeCell ref="E307:E309"/>
    <mergeCell ref="F307:F309"/>
    <mergeCell ref="D310:D312"/>
    <mergeCell ref="E310:E312"/>
    <mergeCell ref="F310:F312"/>
    <mergeCell ref="D298:D300"/>
    <mergeCell ref="E298:E300"/>
    <mergeCell ref="F298:F300"/>
    <mergeCell ref="D301:D303"/>
    <mergeCell ref="E301:E303"/>
    <mergeCell ref="F301:F303"/>
    <mergeCell ref="D304:D306"/>
    <mergeCell ref="E304:E306"/>
    <mergeCell ref="F304:F306"/>
    <mergeCell ref="F337:F339"/>
    <mergeCell ref="M278:M281"/>
    <mergeCell ref="D331:D333"/>
    <mergeCell ref="E331:E333"/>
    <mergeCell ref="F331:F333"/>
    <mergeCell ref="D334:D336"/>
    <mergeCell ref="E334:E336"/>
    <mergeCell ref="F334:F336"/>
    <mergeCell ref="D325:D327"/>
    <mergeCell ref="E325:E327"/>
    <mergeCell ref="F325:F327"/>
    <mergeCell ref="D328:D330"/>
    <mergeCell ref="E328:E330"/>
    <mergeCell ref="F328:F330"/>
    <mergeCell ref="D319:D321"/>
    <mergeCell ref="E319:E321"/>
    <mergeCell ref="F319:F321"/>
    <mergeCell ref="D322:D324"/>
    <mergeCell ref="E322:E324"/>
    <mergeCell ref="F322:F324"/>
    <mergeCell ref="D313:D315"/>
    <mergeCell ref="E313:E315"/>
    <mergeCell ref="G337:G338"/>
    <mergeCell ref="G281:G282"/>
    <mergeCell ref="G62:G63"/>
    <mergeCell ref="G65:G66"/>
    <mergeCell ref="G68:G69"/>
    <mergeCell ref="G71:G72"/>
    <mergeCell ref="G74:G75"/>
    <mergeCell ref="G77:G78"/>
    <mergeCell ref="G80:G81"/>
    <mergeCell ref="G83:G84"/>
    <mergeCell ref="G89:G90"/>
    <mergeCell ref="G325:G326"/>
    <mergeCell ref="G328:G329"/>
    <mergeCell ref="G331:G332"/>
    <mergeCell ref="G334:G335"/>
    <mergeCell ref="G316:G317"/>
    <mergeCell ref="G319:G320"/>
    <mergeCell ref="G322:G323"/>
    <mergeCell ref="G310:G311"/>
    <mergeCell ref="G265:G266"/>
    <mergeCell ref="G268:G269"/>
    <mergeCell ref="G271:G272"/>
    <mergeCell ref="G274:G275"/>
    <mergeCell ref="G278:G279"/>
    <mergeCell ref="G286:G287"/>
    <mergeCell ref="G289:G290"/>
    <mergeCell ref="G292:G293"/>
    <mergeCell ref="G295:G296"/>
    <mergeCell ref="G298:G299"/>
    <mergeCell ref="G301:G302"/>
    <mergeCell ref="G307:G308"/>
    <mergeCell ref="G304:G305"/>
    <mergeCell ref="G109:G110"/>
    <mergeCell ref="G112:G113"/>
    <mergeCell ref="G118:G119"/>
    <mergeCell ref="G121:G122"/>
    <mergeCell ref="G238:G239"/>
    <mergeCell ref="G244:G245"/>
    <mergeCell ref="G247:G248"/>
    <mergeCell ref="G250:G251"/>
    <mergeCell ref="G205:G206"/>
    <mergeCell ref="G211:G212"/>
    <mergeCell ref="G215:G216"/>
    <mergeCell ref="G218:G219"/>
    <mergeCell ref="G223:G224"/>
    <mergeCell ref="G172:G173"/>
    <mergeCell ref="G175:G176"/>
    <mergeCell ref="G181:G182"/>
    <mergeCell ref="G226:G227"/>
    <mergeCell ref="G229:G230"/>
    <mergeCell ref="G232:G233"/>
    <mergeCell ref="G187:G188"/>
    <mergeCell ref="G190:G191"/>
    <mergeCell ref="G193:G194"/>
    <mergeCell ref="G196:G197"/>
    <mergeCell ref="G169:G170"/>
    <mergeCell ref="G29:G30"/>
    <mergeCell ref="G94:G95"/>
    <mergeCell ref="G157:G158"/>
    <mergeCell ref="G220:G221"/>
    <mergeCell ref="G283:G284"/>
  </mergeCells>
  <dataValidations count="4">
    <dataValidation type="decimal" allowBlank="1" showErrorMessage="1" errorTitle="Ошибка" error="Допускается ввод только действительных чисел!" sqref="K215 K218 K223 K226 K229 K232 K235 K238 K244 K247 K250 K253 K256 K259 K262 K265 K268 K271 K10 K89 K145 K142 K139 K136 K133 K130 K127 K124 K121 K118 K112 K109 K106 K103 K100 K97 K92 K152 K148 K155 K160 K163 K166 K169 K172 K175 K181 K184 K187 K190 K193 K199 K202 K205 K208 K211 K196 K274 K278 K281 K286 K289 K292 K295 K298 K301 K307 K310 K313 K316 K319 K322 K325 K328 K331 K334 K337 K5 K115 K178 K241 K304 K94 K157 K220 K283">
      <formula1>-9.99999999999999E+23</formula1>
      <formula2>9.99999999999999E+23</formula2>
    </dataValidation>
    <dataValidation type="textLength" operator="lessThanOrEqual" allowBlank="1" showInputMessage="1" showErrorMessage="1" errorTitle="Ошибка" error="Допускается ввод не более 900 символов!" sqref="M152:M153 M215:M216 M23 M89:M90 M278:M279">
      <formula1>900</formula1>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L87">
      <formula1>900</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I10:J10 I41:J41 I24:J24 I27:J27 I32:J32 I35:J35 I38:J38 I44:J44 I47:J47 I53:J53 I56:J56 I59:J59 I62:J62 I65:J65 I68:J68 I71:J71 I74:J74 I77:J77 I80:J80 I215:J215 I218:J218 I223:J223 I226:J226 I229:J229 I232:J232 I235:J235 I238:J238 I244:J244 I247:J247 I250:J250 I253:J253 I256:J256 I259:J259 I262:J262 I265:J265 I268:J268 I8:J8 I83:J83 I148:J148 I92:J92 I97:J97 I100:J100 I103:J103 I106:J106 I109:J109 I112:J112 I118:J118 I121:J121 I124:J124 I127:J127 I130:J130 I133:J133 I136:J136 I139:J139 I142:J142 I145:J145 I152:J152 I89:J89 I155:J155 I160:J160 I163:J163 I166:J166 I169:J169 I172:J172 I175:J175 I181:J181 I184:J184 I187:J187 I190:J190 I193:J193 I199:J199 I202:J202 I205:J205 I208:J208 I211:J211 I196:J196 I271:J271 I274:J274 I278:J278 I281:J281 I286:J286 I289:J289 I292:J292 I295:J295 I298:J298 I301:J301 I307:J307 I310:J310 I313:J313 I316:J316 I319:J319 I322:J322 I325:J325 I328:J328 I331:J331 I334:J334 I337:J337 I2:J2 I5:J5 I50:J50 I115:J115 I178:J178 I241:J241 I304:J304 I29 J29 I94 J94 I157 J157 I220 J220 I283 J283"/>
  </dataValidations>
  <hyperlinks>
    <hyperlink ref="L87" r:id="rId2" xr:uid="{52A43158-6F28-2488-1F28-D6966BD457CF}"/>
  </hyperlink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drawing r:id="rId1"/>
</worksheet>
</file>

<file path=xl/worksheets/sheet4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185E7EA8-A358-8F4D-9E68-9421FBC0CF68}" mc:Ignorable="x14ac xr xr2 xr3">
  <sheetPr>
    <tabColor theme="6" tint="0.4"/>
  </sheetPr>
  <dimension ref="A1:R17"/>
  <sheetViews>
    <sheetView showGridLines="0" zoomScale="90" workbookViewId="0">
      <pane xSplit="5" ySplit="9" topLeftCell="F10" activePane="bottomRight" state="frozen"/>
      <selection pane="bottomLeft" activeCell="A10" sqref="A10"/>
      <selection pane="topRight" activeCell="F1" sqref="F1"/>
      <selection pane="bottomRight" activeCell="G14" sqref="G14"/>
    </sheetView>
  </sheetViews>
  <sheetFormatPr defaultColWidth="10.57421875" customHeight="1" defaultRowHeight="14.25"/>
  <cols>
    <col min="1" max="1" style="2398" width="9.140625" hidden="1" customWidth="1"/>
    <col min="2" max="2" style="1367" width="9.140625" hidden="1" customWidth="1"/>
    <col min="3" max="3" style="345" width="3.00390625" customWidth="1"/>
    <col min="4" max="4" style="1636" width="6.00390625" customWidth="1"/>
    <col min="5" max="5" style="1636" width="53.00390625" customWidth="1"/>
    <col min="6" max="6" style="1636" width="71.7109375" customWidth="1"/>
    <col min="7" max="7" style="1636" width="82.00390625" customWidth="1"/>
    <col min="8" max="8" style="1636" width="89.00390625" customWidth="1"/>
    <col min="9" max="9" style="1636" width="10.00390625" customWidth="1"/>
    <col min="10" max="11" style="1625" width="10.00390625" customWidth="1"/>
    <col min="12" max="17" style="1636" width="10.00390625" customWidth="1"/>
    <col min="18" max="18" style="1636" width="10.57421875" hidden="1"/>
  </cols>
  <sheetData>
    <row customHeight="1" ht="22.5" hidden="1">
      <c r="N1" s="256"/>
      <c r="O1" s="256"/>
      <c r="Q1" s="256"/>
      <c r="R1" s="375" t="s">
        <v>14</v>
      </c>
    </row>
    <row s="1636" customFormat="1" customHeight="1" ht="18.75" hidden="1">
      <c r="A2" s="103"/>
      <c r="B2" s="1161"/>
      <c r="C2" s="1731" t="s">
        <v>104</v>
      </c>
      <c r="D2" s="1674"/>
      <c r="E2" s="1683"/>
      <c r="F2" s="258"/>
      <c r="G2" s="1162"/>
      <c r="H2" s="375"/>
      <c r="I2" s="1625"/>
      <c r="J2" s="1625"/>
      <c r="R2" s="1632">
        <v>0</v>
      </c>
    </row>
    <row customHeight="1" ht="14.25" hidden="1">
      <c r="R3" s="375">
        <v>0</v>
      </c>
    </row>
    <row customHeight="1" ht="6.3">
      <c r="C4" s="377"/>
      <c r="D4" s="364"/>
      <c r="E4" s="364"/>
      <c r="F4" s="364"/>
      <c r="G4" s="86"/>
      <c r="H4" s="86"/>
      <c r="R4" s="375">
        <v>6</v>
      </c>
    </row>
    <row customHeight="1" ht="34.5">
      <c r="C5" s="377"/>
      <c r="D5" s="2455" t="str">
        <f>PURCH_NAME_FORM</f>
        <v>Форма 17. Информация о способах приобретения, стоимости и об объемах товаров, необходимых регулируемой организации для производства товаров (оказания услуг) в сфере теплоснабжения, цены (тарифы) на которые подлежат регулированию, о способах приобретения, стоимости и об объемах товаров, необходимых для производства товаров и (или) оказания услуг единой теплоснабжающей организацией в ценовых зонах теплоснабжения, о способах приобретения, стоимости и об объемах товаров, необходимых для производства товаров и (или) оказания услуг теплоснабжающей организацией в ценовых зонах теплоснабжения и теплосетевой организацией в ценовых зонах теплоснабжения</v>
      </c>
      <c r="E5" s="2456"/>
      <c r="F5" s="2456"/>
      <c r="G5" s="2457"/>
      <c r="H5" s="267"/>
      <c r="R5" s="375">
        <v>33</v>
      </c>
    </row>
    <row s="1636" customFormat="1" customHeight="1" ht="18">
      <c r="A6" s="1670"/>
      <c r="B6" s="1161"/>
      <c r="C6" s="377"/>
      <c r="D6" s="2458" t="str">
        <f>IF(org=0,"Не определено",org)</f>
        <v>ПАО "КГК"</v>
      </c>
      <c r="E6" s="2459"/>
      <c r="F6" s="2459"/>
      <c r="G6" s="2460"/>
      <c r="H6" s="267"/>
      <c r="J6" s="1625"/>
      <c r="K6" s="1625"/>
      <c r="R6" s="1632">
        <v>17</v>
      </c>
    </row>
    <row customHeight="1" ht="14.699999999999998">
      <c r="C7" s="377"/>
      <c r="D7" s="364"/>
      <c r="E7" s="390"/>
      <c r="F7" s="390"/>
      <c r="G7" s="753"/>
      <c r="H7" s="194"/>
      <c r="R7" s="375">
        <v>14</v>
      </c>
    </row>
    <row customHeight="1" ht="14.699999999999998">
      <c r="C8" s="377"/>
      <c r="D8" s="2210" t="s">
        <v>317</v>
      </c>
      <c r="E8" s="2210"/>
      <c r="F8" s="2210"/>
      <c r="G8" s="2210"/>
      <c r="H8" s="2390" t="s">
        <v>318</v>
      </c>
      <c r="R8" s="375">
        <v>14</v>
      </c>
    </row>
    <row customHeight="1" ht="24">
      <c r="C9" s="377"/>
      <c r="D9" s="387" t="s">
        <v>89</v>
      </c>
      <c r="E9" s="109" t="s">
        <v>319</v>
      </c>
      <c r="F9" s="109" t="s">
        <v>320</v>
      </c>
      <c r="G9" s="109" t="s">
        <v>407</v>
      </c>
      <c r="H9" s="2390"/>
      <c r="R9" s="375">
        <v>23</v>
      </c>
    </row>
    <row customHeight="1" ht="15">
      <c r="A10" s="344"/>
      <c r="C10" s="377"/>
      <c r="D10" s="148" t="s">
        <v>118</v>
      </c>
      <c r="E10" s="1887" t="str">
        <f>"Сведения о правовых актах, регламентирующих правила закупки (положение о закупках) в "&amp;IF(TEMPLATE_SPHERE="TKO","организации",IF(TEMPLATE_SPHERE="HEAT","регулируемой организации, единой теплоснабжающей организации в ценовых зонах теплоснабжения, теплоснабжающей организацией в ценовых зонах теплоснабжения и теплосетевой организацией в ценовых зонах теплоснабжения","организации "&amp;TEMPLATE_SPHERE_RUS))</f>
        <v>Сведения о правовых актах, регламентирующих правила закупки (положение о закупках) в регулируемой организации, единой теплоснабжающей организации в ценовых зонах теплоснабжения, теплоснабжающей организацией в ценовых зонах теплоснабжения и теплосетевой организацией в ценовых зонах теплоснабжения</v>
      </c>
      <c r="F10" s="258" t="s">
        <v>1174</v>
      </c>
      <c r="G10" s="2896" t="s">
        <v>1175</v>
      </c>
      <c r="H10" s="2170" t="s">
        <v>1176</v>
      </c>
      <c r="R10" s="375">
        <v>14</v>
      </c>
    </row>
    <row customHeight="1" ht="15">
      <c r="A11" s="344"/>
      <c r="C11" s="377"/>
      <c r="D11" s="148" t="s">
        <v>103</v>
      </c>
      <c r="E11" s="1887" t="str">
        <f>"Сведения о месте размещения "&amp;IF(TEMPLATE_SPHERE="TKO","положения о закупках в организации",IF(TEMPLATE_SPHERE="HEAT","положения о закупке регулируемой организации, единой теплоснабжающей организации в ценовых зонах теплоснабжения, теплоснабжающей организацией в ценовых зонах теплоснабжения и теплосетевой организацией в ценовых зонах теплоснабжения","правовых актов, регламентирующих правила закупки (положение о закупках) в организации "&amp;TEMPLATE_SPHERE_RUS))</f>
        <v>Сведения о месте размещения положения о закупке регулируемой организации, единой теплоснабжающей организации в ценовых зонах теплоснабжения, теплоснабжающей организацией в ценовых зонах теплоснабжения и теплосетевой организацией в ценовых зонах теплоснабжения</v>
      </c>
      <c r="F11" s="258" t="s">
        <v>1174</v>
      </c>
      <c r="G11" s="2896" t="s">
        <v>1175</v>
      </c>
      <c r="H11" s="2171"/>
      <c r="R11" s="375">
        <v>14</v>
      </c>
    </row>
    <row customHeight="1" ht="15">
      <c r="A12" s="103"/>
      <c r="C12" s="388"/>
      <c r="D12" s="148" t="s">
        <v>91</v>
      </c>
      <c r="E12" s="389" t="str">
        <f>"Сведения о планировании закупочных процедур"&amp;IF(TEMPLATE_SPHERE="TKO"," &lt;1&gt;","")</f>
        <v>Сведения о планировании закупочных процедур</v>
      </c>
      <c r="F12" s="258" t="s">
        <v>1174</v>
      </c>
      <c r="G12" s="2896" t="s">
        <v>1175</v>
      </c>
      <c r="H12" s="2171" t="str">
        <f>"В случае наличия дополнительных сведений о способах приобретения, стоимости и объемах товаров, необходимых для производства "&amp;IF(OR(TEMPLATE_SPHERE="HEAT",TEMPLATE_SPHERE="TKO"),"","регулируемых ")&amp;"товаров и (или) оказания "&amp;IF(OR(TEMPLATE_SPHERE="HEAT",TEMPLATE_SPHERE="TKO"),"услуг организацией","регулируемых услуг регулируемой организацией")&amp;", информация по ним указывается в отдельных строках."</f>
        <v>В случае наличия дополнительных сведений о способах приобретения, стоимости и объемах товаров, необходимых для производства товаров и (или) оказания услуг организацией, информация по ним указывается в отдельных строках.</v>
      </c>
      <c r="I12" s="351"/>
      <c r="K12" s="375"/>
      <c r="R12" s="375">
        <v>14</v>
      </c>
    </row>
    <row customHeight="1" ht="15">
      <c r="A13" s="103"/>
      <c r="C13" s="388"/>
      <c r="D13" s="148" t="s">
        <v>92</v>
      </c>
      <c r="E13" s="389" t="str">
        <f>"Сведения о результатах проведения закупочных процедур"&amp;IF(TEMPLATE_SPHERE="TKO"," &lt;1&gt;","")</f>
        <v>Сведения о результатах проведения закупочных процедур</v>
      </c>
      <c r="F13" s="258" t="s">
        <v>1174</v>
      </c>
      <c r="G13" s="2896" t="s">
        <v>1175</v>
      </c>
      <c r="H13" s="2171"/>
      <c r="I13" s="351"/>
      <c r="K13" s="375"/>
      <c r="R13" s="375">
        <v>14</v>
      </c>
    </row>
    <row customHeight="1" ht="14.699999999999998">
      <c r="A14" s="344"/>
      <c r="C14" s="377"/>
      <c r="D14" s="348"/>
      <c r="E14" s="396" t="s">
        <v>339</v>
      </c>
      <c r="F14" s="350"/>
      <c r="G14" s="202"/>
      <c r="H14" s="2172"/>
      <c r="R14" s="375">
        <v>14</v>
      </c>
    </row>
    <row s="1636" customFormat="1" customHeight="1" ht="14.699999999999998">
      <c r="A15" s="344"/>
      <c r="B15" s="1161"/>
      <c r="C15" s="377"/>
      <c r="D15" s="397"/>
      <c r="E15" s="1678"/>
      <c r="F15" s="1679"/>
      <c r="G15" s="1680"/>
      <c r="H15" s="1681"/>
      <c r="J15" s="1625"/>
      <c r="K15" s="1625"/>
      <c r="R15" s="1632">
        <v>14</v>
      </c>
    </row>
    <row customHeight="1" ht="14.699999999999998">
      <c r="D16" s="1682"/>
      <c r="E16" s="2386"/>
      <c r="F16" s="2386"/>
      <c r="G16" s="2386"/>
      <c r="H16" s="2386"/>
      <c r="R16" s="375">
        <v>14</v>
      </c>
    </row>
    <row customHeight="1" ht="22.5" hidden="1">
      <c r="A17" s="365" t="s">
        <v>83</v>
      </c>
      <c r="B17" s="147">
        <v>0</v>
      </c>
      <c r="C17" s="345">
        <v>3</v>
      </c>
      <c r="D17" s="375">
        <v>6</v>
      </c>
      <c r="E17" s="375">
        <v>53</v>
      </c>
      <c r="F17" s="375">
        <v>35</v>
      </c>
      <c r="G17" s="375">
        <v>35</v>
      </c>
      <c r="H17" s="375">
        <v>89</v>
      </c>
      <c r="I17" s="375">
        <v>10</v>
      </c>
      <c r="J17" s="351">
        <v>10</v>
      </c>
      <c r="K17" s="351">
        <v>10</v>
      </c>
      <c r="L17" s="375">
        <v>10</v>
      </c>
      <c r="M17" s="375">
        <v>10</v>
      </c>
      <c r="N17" s="375">
        <v>10</v>
      </c>
      <c r="O17" s="375">
        <v>10</v>
      </c>
      <c r="P17" s="375">
        <v>10</v>
      </c>
      <c r="Q17" s="375">
        <v>10</v>
      </c>
      <c r="R17" s="375">
        <v>23</v>
      </c>
    </row>
  </sheetData>
  <sheetProtection formatColumns="0" formatRows="0" autoFilter="0" sort="0" insertRows="0" insertColumns="1" deleteRows="0" deleteColumns="0"/>
  <mergeCells count="7">
    <mergeCell ref="E16:H16"/>
    <mergeCell ref="H10:H11"/>
    <mergeCell ref="H12:H14"/>
    <mergeCell ref="D5:G5"/>
    <mergeCell ref="D8:G8"/>
    <mergeCell ref="H8:H9"/>
    <mergeCell ref="D6:G6"/>
  </mergeCells>
  <dataValidations count="2">
    <dataValidation type="textLength" operator="lessThanOrEqual" allowBlank="1" showInputMessage="1" showErrorMessage="1" errorTitle="Ошибка" error="Допускается ввод не более 900 символов!" sqref="H10 E13 E2:F2 F10:F13">
      <formula1>900</formula1>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либо ссылку на официальный сайт в сети «Интернет», на котором размещена информация" sqref="G2 G10:G13">
      <formula1>900</formula1>
    </dataValidation>
  </dataValidations>
  <hyperlinks>
    <hyperlink ref="G10" r:id="rId2" xr:uid="{AB6FAD98-17FB-3B68-5378-0B36562327EA}"/>
    <hyperlink ref="G11" r:id="rId3" xr:uid="{0BF9AF33-74D8-0038-AE27-D428C55A3D78}"/>
    <hyperlink ref="G12" r:id="rId4" xr:uid="{47B9DB24-6004-55D8-4708-7943882B8FF3}"/>
    <hyperlink ref="G13" r:id="rId5" xr:uid="{26DA7CF7-0AE8-DC5C-911D-F35DB8D7E706}"/>
  </hyperlink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drawing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D0FC8F26-5B88-9A98-0285-26C58E846E5A}" mc:Ignorable="x14ac xr xr2 xr3">
  <sheetPr>
    <tabColor rgb="FFCCCCFF"/>
  </sheetPr>
  <dimension ref="A1:AR150"/>
  <sheetViews>
    <sheetView showGridLines="0" zoomScale="90" workbookViewId="0">
      <pane xSplit="6" ySplit="12" topLeftCell="G13" activePane="bottomRight" state="frozen"/>
      <selection pane="bottomLeft" activeCell="A13" sqref="A13"/>
      <selection pane="topRight" activeCell="G1" sqref="G1"/>
      <selection pane="bottomRight" activeCell="J32" sqref="J32:J35"/>
    </sheetView>
  </sheetViews>
  <sheetFormatPr defaultColWidth="9.140625" customHeight="1" defaultRowHeight="11.25"/>
  <cols>
    <col min="1" max="2" style="1625" width="3.7109375" hidden="1" customWidth="1"/>
    <col min="3" max="3" style="1854" width="3.00390625" customWidth="1"/>
    <col min="4" max="4" style="1854" width="6.00390625" customWidth="1"/>
    <col min="5" max="5" style="1854" width="42.00390625" customWidth="1"/>
    <col min="6" max="6" style="1854" width="15.00390625" customWidth="1"/>
    <col min="7" max="7" style="1854" width="42.00390625" customWidth="1"/>
    <col min="8" max="8" style="1854" width="3.00390625" customWidth="1"/>
    <col min="9" max="9" style="1854" width="5.00390625" customWidth="1"/>
    <col min="10" max="10" style="1854" width="47.00390625" customWidth="1"/>
    <col min="11" max="12" style="1854" width="3.00390625" customWidth="1"/>
    <col min="13" max="13" style="1854" width="5.00390625" customWidth="1"/>
    <col min="14" max="14" style="1854" width="28.00390625" customWidth="1"/>
    <col min="15" max="16" style="1854" width="3.00390625" customWidth="1"/>
    <col min="17" max="17" style="1854" width="5.00390625" customWidth="1"/>
    <col min="18" max="18" style="1854" width="34.00390625" customWidth="1"/>
    <col min="19" max="20" style="1854" width="3.7109375" customWidth="1"/>
    <col min="21" max="21" style="1854" width="5.7109375" customWidth="1"/>
    <col min="22" max="22" style="1854" width="34.421875" customWidth="1"/>
    <col min="23" max="23" style="1854" width="30.00390625" customWidth="1"/>
    <col min="24" max="24" style="1854" width="3.00390625" customWidth="1"/>
    <col min="25" max="28" style="1267" width="9.8515625" hidden="1" customWidth="1"/>
    <col min="29" max="29" style="1267" width="27.00390625" hidden="1" customWidth="1"/>
    <col min="30" max="30" style="1267" width="10.57421875" hidden="1" customWidth="1"/>
    <col min="31" max="31" style="1267" width="10.7109375" hidden="1" customWidth="1"/>
    <col min="32" max="32" style="1267" width="10.00390625" hidden="1" customWidth="1"/>
    <col min="33" max="33" style="1267" width="12.8515625" hidden="1" customWidth="1"/>
    <col min="34" max="34" style="1267" width="24.421875" hidden="1" customWidth="1"/>
    <col min="35" max="35" style="1267" width="15.8515625" hidden="1" customWidth="1"/>
    <col min="36" max="36" style="1267" width="19.421875" hidden="1" customWidth="1"/>
    <col min="37" max="37" style="1267" width="11.00390625" hidden="1" customWidth="1"/>
    <col min="38" max="38" style="1267" width="23.57421875" hidden="1" customWidth="1"/>
    <col min="39" max="39" style="1267" width="23.8515625" hidden="1" customWidth="1"/>
    <col min="40" max="40" style="1267" width="25.28125" hidden="1" customWidth="1"/>
    <col min="41" max="41" style="1267" width="16.8515625" hidden="1" customWidth="1"/>
    <col min="42" max="42" style="1267" width="29.57421875" hidden="1" customWidth="1"/>
    <col min="43" max="43" style="1267" width="29.8515625" hidden="1" customWidth="1"/>
    <col min="44" max="44" style="1854" width="9.140625" hidden="1"/>
  </cols>
  <sheetData>
    <row customHeight="1" ht="11.25" hidden="1">
      <c r="A1" s="157"/>
      <c r="AR1" s="105" t="s">
        <v>14</v>
      </c>
    </row>
    <row customHeight="1" ht="11.25" hidden="1">
      <c r="AR2" s="105">
        <v>0</v>
      </c>
    </row>
    <row customHeight="1" ht="11.25" hidden="1">
      <c r="AR3" s="105">
        <v>0</v>
      </c>
    </row>
    <row customHeight="1" ht="3">
      <c r="AR4" s="105">
        <v>3</v>
      </c>
    </row>
    <row s="590" customFormat="1" customHeight="1" ht="30.45">
      <c r="A5" s="155"/>
      <c r="B5" s="155"/>
      <c r="D5" s="2158" t="str">
        <f>"Перечень тарифов и технологически не связанных между собой централизованных систем "&amp;TEMPLATE_SPHERE_RUS&amp;", в отношении которых предлагаются различные тарифы в сфере  "&amp;TEMPLATE_SPHERE_RUS&amp;IF(TEMPLATE_SPHERE="HEAT"," и горячего водоснабжения с использованием открытых систем "&amp;TEMPLATE_SPHERE_RUS,"")&amp;" (информация раскрывается отдельно по каждой системе  "&amp;TEMPLATE_SPHERE_RUS&amp;")"</f>
        <v>Перечень тарифов и технологически не связанных между собой централизованных систем теплоснабжения, в отношении которых предлагаются различные тарифы в сфере  теплоснабжения и горячего водоснабжения с использованием открытых систем теплоснабжения (информация раскрывается отдельно по каждой системе  теплоснабжения)</v>
      </c>
      <c r="E5" s="2159"/>
      <c r="F5" s="2159"/>
      <c r="G5" s="2159"/>
      <c r="H5" s="2159"/>
      <c r="I5" s="2159"/>
      <c r="J5" s="2160"/>
      <c r="K5" s="266"/>
      <c r="L5" s="143"/>
      <c r="M5" s="143"/>
      <c r="N5" s="143"/>
      <c r="O5" s="143"/>
      <c r="P5" s="143"/>
      <c r="Q5" s="143"/>
      <c r="R5" s="143"/>
      <c r="S5" s="291"/>
      <c r="T5" s="291"/>
      <c r="U5" s="291"/>
      <c r="V5" s="291"/>
      <c r="W5" s="143"/>
      <c r="Y5" s="1261"/>
      <c r="Z5" s="1261"/>
      <c r="AA5" s="1261"/>
      <c r="AB5" s="1261"/>
      <c r="AC5" s="1261"/>
      <c r="AD5" s="1261"/>
      <c r="AE5" s="1261"/>
      <c r="AF5" s="1261"/>
      <c r="AG5" s="1261"/>
      <c r="AH5" s="1261"/>
      <c r="AI5" s="1261"/>
      <c r="AJ5" s="1261"/>
      <c r="AK5" s="1261"/>
      <c r="AL5" s="1261"/>
      <c r="AM5" s="1261"/>
      <c r="AN5" s="1261"/>
      <c r="AO5" s="1261"/>
      <c r="AP5" s="1261"/>
      <c r="AQ5" s="1261"/>
      <c r="AR5" s="112">
        <v>29</v>
      </c>
    </row>
    <row s="590" customFormat="1" customHeight="1" ht="14.699999999999998">
      <c r="A6" s="586"/>
      <c r="B6" s="586"/>
      <c r="C6" s="586"/>
      <c r="D6" s="2164" t="str">
        <f>IF(org=0,"Не определено",org)</f>
        <v>ПАО "КГК"</v>
      </c>
      <c r="E6" s="2164"/>
      <c r="F6" s="2164"/>
      <c r="G6" s="2164"/>
      <c r="H6" s="2164"/>
      <c r="I6" s="2164"/>
      <c r="J6" s="2164"/>
      <c r="K6" s="587"/>
      <c r="L6" s="587"/>
      <c r="M6" s="587"/>
      <c r="N6" s="587"/>
      <c r="O6" s="871"/>
      <c r="P6" s="871"/>
      <c r="Q6" s="871"/>
      <c r="R6" s="871"/>
      <c r="S6" s="871"/>
      <c r="T6" s="871"/>
      <c r="U6" s="871"/>
      <c r="V6" s="871"/>
      <c r="W6" s="871"/>
      <c r="X6" s="587"/>
      <c r="Y6" s="1262"/>
      <c r="Z6" s="1262"/>
      <c r="AA6" s="1262"/>
      <c r="AB6" s="1262"/>
      <c r="AC6" s="1262"/>
      <c r="AD6" s="1262"/>
      <c r="AE6" s="1262"/>
      <c r="AF6" s="1262"/>
      <c r="AG6" s="1262"/>
      <c r="AH6" s="1262"/>
      <c r="AI6" s="1262"/>
      <c r="AJ6" s="1262"/>
      <c r="AK6" s="1262"/>
      <c r="AL6" s="1262"/>
      <c r="AM6" s="1262"/>
      <c r="AN6" s="1262"/>
      <c r="AO6" s="1262"/>
      <c r="AP6" s="1262"/>
      <c r="AQ6" s="1262"/>
      <c r="AR6" s="588">
        <v>14</v>
      </c>
    </row>
    <row s="300" customFormat="1" customHeight="1" ht="11.549999999999999">
      <c r="A7" s="212"/>
      <c r="B7" s="212"/>
      <c r="D7" s="2161"/>
      <c r="E7" s="2162"/>
      <c r="F7" s="2162"/>
      <c r="G7" s="2162"/>
      <c r="H7" s="2162"/>
      <c r="I7" s="2162"/>
      <c r="J7" s="2163"/>
      <c r="S7" s="300"/>
      <c r="T7" s="300"/>
      <c r="U7" s="300"/>
      <c r="V7" s="300"/>
      <c r="Y7" s="1263"/>
      <c r="Z7" s="1263"/>
      <c r="AA7" s="1263"/>
      <c r="AB7" s="1263"/>
      <c r="AC7" s="1263"/>
      <c r="AD7" s="1263"/>
      <c r="AE7" s="1263"/>
      <c r="AF7" s="1263"/>
      <c r="AG7" s="1263"/>
      <c r="AH7" s="1263"/>
      <c r="AI7" s="1263"/>
      <c r="AJ7" s="1263"/>
      <c r="AK7" s="1263"/>
      <c r="AL7" s="1263"/>
      <c r="AM7" s="1263"/>
      <c r="AN7" s="1263"/>
      <c r="AO7" s="1263"/>
      <c r="AP7" s="1263"/>
      <c r="AQ7" s="1263"/>
      <c r="AR7" s="277">
        <v>11</v>
      </c>
    </row>
    <row s="590" customFormat="1" customHeight="1" ht="1.05">
      <c r="A8" s="155"/>
      <c r="B8" s="155"/>
      <c r="D8" s="213"/>
      <c r="E8" s="213"/>
      <c r="F8" s="213"/>
      <c r="G8" s="213"/>
      <c r="H8" s="213"/>
      <c r="I8" s="213"/>
      <c r="J8" s="213"/>
      <c r="K8" s="213"/>
      <c r="L8" s="213"/>
      <c r="M8" s="213"/>
      <c r="N8" s="213"/>
      <c r="O8" s="213"/>
      <c r="P8" s="213"/>
      <c r="Q8" s="213"/>
      <c r="R8" s="213"/>
      <c r="S8" s="213"/>
      <c r="T8" s="213"/>
      <c r="U8" s="213"/>
      <c r="V8" s="213"/>
      <c r="W8" s="213"/>
      <c r="X8" s="133"/>
      <c r="Y8" s="1261"/>
      <c r="Z8" s="1261"/>
      <c r="AA8" s="1261"/>
      <c r="AB8" s="1261"/>
      <c r="AC8" s="1261"/>
      <c r="AD8" s="1261"/>
      <c r="AE8" s="1261"/>
      <c r="AF8" s="1261"/>
      <c r="AG8" s="1261"/>
      <c r="AH8" s="1261"/>
      <c r="AI8" s="1261"/>
      <c r="AJ8" s="1261"/>
      <c r="AK8" s="1261"/>
      <c r="AL8" s="1261"/>
      <c r="AM8" s="1261"/>
      <c r="AN8" s="1261"/>
      <c r="AO8" s="1261"/>
      <c r="AP8" s="1261"/>
      <c r="AQ8" s="1261"/>
      <c r="AR8" s="112">
        <v>1</v>
      </c>
    </row>
    <row customHeight="1" ht="28.5">
      <c r="D9" s="2128" t="s">
        <v>89</v>
      </c>
      <c r="E9" s="2102" t="s">
        <v>130</v>
      </c>
      <c r="F9" s="2104"/>
      <c r="G9" s="2128" t="s">
        <v>114</v>
      </c>
      <c r="H9" s="2128" t="s">
        <v>89</v>
      </c>
      <c r="I9" s="2128"/>
      <c r="J9" s="2128" t="s">
        <v>131</v>
      </c>
      <c r="K9" s="2156" t="s">
        <v>132</v>
      </c>
      <c r="L9" s="2156"/>
      <c r="M9" s="2156"/>
      <c r="N9" s="2156"/>
      <c r="O9" s="2156" t="s">
        <v>133</v>
      </c>
      <c r="P9" s="2156"/>
      <c r="Q9" s="2156"/>
      <c r="R9" s="2156"/>
      <c r="S9" s="2156" t="s">
        <v>134</v>
      </c>
      <c r="T9" s="2156"/>
      <c r="U9" s="2156"/>
      <c r="V9" s="2156"/>
      <c r="W9" s="2128" t="s">
        <v>135</v>
      </c>
      <c r="AR9" s="105">
        <v>27</v>
      </c>
    </row>
    <row customHeight="1" ht="31.5">
      <c r="D10" s="2128"/>
      <c r="E10" s="1285" t="s">
        <v>90</v>
      </c>
      <c r="F10" s="1285" t="s">
        <v>136</v>
      </c>
      <c r="G10" s="2128"/>
      <c r="H10" s="2128"/>
      <c r="I10" s="2128"/>
      <c r="J10" s="2128"/>
      <c r="K10" s="111" t="s">
        <v>117</v>
      </c>
      <c r="L10" s="2128" t="s">
        <v>89</v>
      </c>
      <c r="M10" s="2128"/>
      <c r="N10" s="111" t="s">
        <v>137</v>
      </c>
      <c r="O10" s="111" t="s">
        <v>117</v>
      </c>
      <c r="P10" s="2128" t="s">
        <v>89</v>
      </c>
      <c r="Q10" s="2128"/>
      <c r="R10" s="111" t="s">
        <v>137</v>
      </c>
      <c r="S10" s="284" t="s">
        <v>117</v>
      </c>
      <c r="T10" s="2128" t="s">
        <v>89</v>
      </c>
      <c r="U10" s="2128"/>
      <c r="V10" s="284" t="s">
        <v>90</v>
      </c>
      <c r="W10" s="2128"/>
      <c r="Z10" s="1260" t="s">
        <v>138</v>
      </c>
      <c r="AA10" s="1260" t="s">
        <v>139</v>
      </c>
      <c r="AB10" s="1260" t="s">
        <v>140</v>
      </c>
      <c r="AC10" s="1260" t="s">
        <v>141</v>
      </c>
      <c r="AD10" s="1260" t="s">
        <v>142</v>
      </c>
      <c r="AE10" s="1260" t="s">
        <v>143</v>
      </c>
      <c r="AF10" s="1260" t="s">
        <v>144</v>
      </c>
      <c r="AG10" s="1260" t="s">
        <v>145</v>
      </c>
      <c r="AH10" s="1260" t="s">
        <v>146</v>
      </c>
      <c r="AI10" s="1260" t="s">
        <v>147</v>
      </c>
      <c r="AJ10" s="1260" t="s">
        <v>148</v>
      </c>
      <c r="AK10" s="1260" t="s">
        <v>149</v>
      </c>
      <c r="AL10" s="1260" t="s">
        <v>150</v>
      </c>
      <c r="AM10" s="1260" t="s">
        <v>151</v>
      </c>
      <c r="AN10" s="1260" t="s">
        <v>152</v>
      </c>
      <c r="AO10" s="1260" t="s">
        <v>153</v>
      </c>
      <c r="AP10" s="1260" t="s">
        <v>154</v>
      </c>
      <c r="AQ10" s="1260" t="s">
        <v>155</v>
      </c>
      <c r="AR10" s="105">
        <v>30</v>
      </c>
    </row>
    <row s="1625" customFormat="1" customHeight="1" ht="12" hidden="1">
      <c r="D11" s="1250" t="s">
        <v>118</v>
      </c>
      <c r="E11" s="1250" t="s">
        <v>103</v>
      </c>
      <c r="F11" s="1250"/>
      <c r="G11" s="1250" t="s">
        <v>91</v>
      </c>
      <c r="H11" s="2157" t="s">
        <v>119</v>
      </c>
      <c r="I11" s="2157"/>
      <c r="J11" s="1250" t="s">
        <v>93</v>
      </c>
      <c r="K11" s="1250" t="s">
        <v>94</v>
      </c>
      <c r="L11" s="2157" t="s">
        <v>120</v>
      </c>
      <c r="M11" s="2157"/>
      <c r="N11" s="1250" t="s">
        <v>156</v>
      </c>
      <c r="O11" s="1250" t="s">
        <v>157</v>
      </c>
      <c r="P11" s="2157" t="s">
        <v>158</v>
      </c>
      <c r="Q11" s="2157"/>
      <c r="R11" s="1250" t="s">
        <v>159</v>
      </c>
      <c r="S11" s="1250" t="s">
        <v>158</v>
      </c>
      <c r="T11" s="2157" t="s">
        <v>159</v>
      </c>
      <c r="U11" s="2157"/>
      <c r="V11" s="1250" t="s">
        <v>160</v>
      </c>
      <c r="W11" s="1250" t="s">
        <v>161</v>
      </c>
      <c r="Y11" s="1260"/>
      <c r="Z11" s="1260"/>
      <c r="AA11" s="1260"/>
      <c r="AB11" s="1260"/>
      <c r="AC11" s="1260"/>
      <c r="AD11" s="1260"/>
      <c r="AE11" s="1260"/>
      <c r="AF11" s="1260"/>
      <c r="AG11" s="1260"/>
      <c r="AH11" s="1260"/>
      <c r="AI11" s="1260"/>
      <c r="AJ11" s="1260"/>
      <c r="AK11" s="1260"/>
      <c r="AL11" s="1260"/>
      <c r="AM11" s="1260"/>
      <c r="AN11" s="1260"/>
      <c r="AO11" s="1260"/>
      <c r="AP11" s="1260"/>
      <c r="AQ11" s="1260"/>
      <c r="AR11" s="278">
        <v>0</v>
      </c>
    </row>
    <row customHeight="1" ht="14.25" hidden="1">
      <c r="C12" s="210"/>
      <c r="D12" s="1283">
        <v>0</v>
      </c>
      <c r="E12" s="251"/>
      <c r="F12" s="251"/>
      <c r="G12" s="251"/>
      <c r="H12" s="252"/>
      <c r="I12" s="252"/>
      <c r="J12" s="159"/>
      <c r="K12" s="113"/>
      <c r="L12" s="159"/>
      <c r="M12" s="159"/>
      <c r="N12" s="253"/>
      <c r="O12" s="113"/>
      <c r="P12" s="159"/>
      <c r="Q12" s="159"/>
      <c r="R12" s="254"/>
      <c r="S12" s="285"/>
      <c r="T12" s="293"/>
      <c r="U12" s="293"/>
      <c r="V12" s="297"/>
      <c r="W12" s="113"/>
      <c r="X12" s="142"/>
      <c r="AR12" s="105">
        <v>0</v>
      </c>
    </row>
    <row s="1854" customFormat="1" customHeight="1" ht="17.25">
      <c r="A13" s="322"/>
      <c r="C13" s="210"/>
      <c r="D13" s="2136">
        <v>1</v>
      </c>
      <c r="E13" s="2144" t="s">
        <v>162</v>
      </c>
      <c r="F13" s="2146" t="s">
        <v>19</v>
      </c>
      <c r="G13" s="2144"/>
      <c r="H13" s="2149"/>
      <c r="I13" s="2151"/>
      <c r="J13" s="2153"/>
      <c r="K13" s="2138"/>
      <c r="L13" s="2138"/>
      <c r="M13" s="2138"/>
      <c r="N13" s="2140"/>
      <c r="O13" s="2138"/>
      <c r="P13" s="2138"/>
      <c r="Q13" s="2138"/>
      <c r="R13" s="2143"/>
      <c r="S13" s="2138"/>
      <c r="T13" s="1421"/>
      <c r="U13" s="1421"/>
      <c r="V13" s="1420"/>
      <c r="W13" s="1297"/>
      <c r="Y13" s="1268"/>
      <c r="Z13" s="1268"/>
      <c r="AA13" s="1268"/>
      <c r="AB13" s="1268"/>
      <c r="AC13" s="1268" t="s">
        <v>163</v>
      </c>
      <c r="AD13" s="1268" t="s">
        <v>164</v>
      </c>
      <c r="AE13" s="1268" t="s">
        <v>165</v>
      </c>
      <c r="AF13" s="1268" t="s">
        <v>166</v>
      </c>
      <c r="AG13" s="1268" t="s">
        <v>167</v>
      </c>
      <c r="AH13" s="1268" t="str">
        <f>IF($E$13=0,"",$E$13)</f>
        <v>Тарифы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v>
      </c>
      <c r="AI13" s="1268" t="str">
        <f>IF($G$13=0,"",$G$13)</f>
        <v/>
      </c>
      <c r="AJ13" s="1268" t="str">
        <f>IF($J$13=0,"",$J$13)</f>
        <v/>
      </c>
      <c r="AK13" s="1268" t="str">
        <f>IF($K$13="нет","без дифференциации",IF($N$13=0,"",$N$13))</f>
        <v/>
      </c>
      <c r="AL13" s="1268" t="str">
        <f>IF($O$13="нет","без дифференциации",IF($R$13=0,"",$R$13))</f>
        <v/>
      </c>
      <c r="AM13" s="1268" t="str">
        <f>IF($S$13="нет","без дифференциации",IF($V$13=0,"",$V$13))</f>
        <v/>
      </c>
      <c r="AN13" s="1268">
        <f>$I$13</f>
        <v>0</v>
      </c>
      <c r="AO13" s="1268" t="str">
        <f>$I$13&amp;"."&amp;$M$13</f>
        <v>.</v>
      </c>
      <c r="AP13" s="1268" t="str">
        <f>$I$13&amp;"."&amp;$M$13&amp;"."&amp;$Q$13</f>
        <v>..</v>
      </c>
      <c r="AQ13" s="1268" t="str">
        <f>$I$13&amp;"."&amp;$M$13&amp;"."&amp;$Q$13&amp;"."&amp;$U$13</f>
        <v>...</v>
      </c>
      <c r="AR13" s="751">
        <v>0</v>
      </c>
    </row>
    <row s="1854" customFormat="1" customHeight="1" ht="17.25">
      <c r="A14" s="322"/>
      <c r="C14" s="321"/>
      <c r="D14" s="2136"/>
      <c r="E14" s="2144"/>
      <c r="F14" s="2147"/>
      <c r="G14" s="2144"/>
      <c r="H14" s="2150"/>
      <c r="I14" s="2152"/>
      <c r="J14" s="2154"/>
      <c r="K14" s="2139"/>
      <c r="L14" s="2139"/>
      <c r="M14" s="2139"/>
      <c r="N14" s="2141"/>
      <c r="O14" s="2139"/>
      <c r="P14" s="2139"/>
      <c r="Q14" s="2139"/>
      <c r="R14" s="2142"/>
      <c r="S14" s="2139"/>
      <c r="T14" s="1298"/>
      <c r="U14" s="1298"/>
      <c r="V14" s="1298"/>
      <c r="W14" s="1299"/>
      <c r="Y14" s="1260"/>
      <c r="Z14" s="1260"/>
      <c r="AA14" s="1260"/>
      <c r="AB14" s="1260"/>
      <c r="AC14" s="1260"/>
      <c r="AD14" s="1260"/>
      <c r="AE14" s="1260"/>
      <c r="AF14" s="1260"/>
      <c r="AG14" s="1260"/>
      <c r="AH14" s="1260"/>
      <c r="AI14" s="1260"/>
      <c r="AJ14" s="1260"/>
      <c r="AK14" s="1260"/>
      <c r="AL14" s="1260"/>
      <c r="AM14" s="1260"/>
      <c r="AN14" s="1260"/>
      <c r="AO14" s="1260"/>
      <c r="AP14" s="1260"/>
      <c r="AQ14" s="1260"/>
      <c r="AR14" s="751">
        <v>0</v>
      </c>
    </row>
    <row s="1854" customFormat="1" customHeight="1" ht="17.25">
      <c r="A15" s="322"/>
      <c r="C15" s="210"/>
      <c r="D15" s="2136"/>
      <c r="E15" s="2144"/>
      <c r="F15" s="2147"/>
      <c r="G15" s="2144"/>
      <c r="H15" s="2150"/>
      <c r="I15" s="2152"/>
      <c r="J15" s="2155"/>
      <c r="K15" s="2139"/>
      <c r="L15" s="2139"/>
      <c r="M15" s="2139"/>
      <c r="N15" s="2142"/>
      <c r="O15" s="2139"/>
      <c r="P15" s="1419"/>
      <c r="Q15" s="1298"/>
      <c r="R15" s="1298"/>
      <c r="S15" s="330"/>
      <c r="T15" s="330"/>
      <c r="U15" s="330"/>
      <c r="V15" s="330"/>
      <c r="W15" s="1299"/>
      <c r="Y15" s="1268"/>
      <c r="Z15" s="1268"/>
      <c r="AA15" s="1268"/>
      <c r="AB15" s="1268"/>
      <c r="AC15" s="1268"/>
      <c r="AD15" s="1268"/>
      <c r="AE15" s="1268"/>
      <c r="AF15" s="1268"/>
      <c r="AG15" s="1268"/>
      <c r="AH15" s="1268"/>
      <c r="AI15" s="1268"/>
      <c r="AJ15" s="1268"/>
      <c r="AK15" s="1268"/>
      <c r="AL15" s="1268"/>
      <c r="AM15" s="1268"/>
      <c r="AN15" s="1268"/>
      <c r="AO15" s="1268"/>
      <c r="AP15" s="1268"/>
      <c r="AQ15" s="1268"/>
      <c r="AR15" s="1418">
        <v>0</v>
      </c>
    </row>
    <row s="1854" customFormat="1" customHeight="1" ht="17.25">
      <c r="A16" s="322"/>
      <c r="C16" s="321"/>
      <c r="D16" s="2136"/>
      <c r="E16" s="2144"/>
      <c r="F16" s="2147"/>
      <c r="G16" s="2144"/>
      <c r="H16" s="2150"/>
      <c r="I16" s="2152"/>
      <c r="J16" s="2155"/>
      <c r="K16" s="2139"/>
      <c r="L16" s="1298"/>
      <c r="M16" s="1298"/>
      <c r="N16" s="1298"/>
      <c r="O16" s="1298"/>
      <c r="P16" s="1298"/>
      <c r="Q16" s="1298"/>
      <c r="R16" s="1298"/>
      <c r="S16" s="330"/>
      <c r="T16" s="330"/>
      <c r="U16" s="330"/>
      <c r="V16" s="330"/>
      <c r="W16" s="1299"/>
      <c r="Y16" s="1260"/>
      <c r="Z16" s="1260"/>
      <c r="AA16" s="1260"/>
      <c r="AB16" s="1260"/>
      <c r="AC16" s="1260"/>
      <c r="AD16" s="1260"/>
      <c r="AE16" s="1260"/>
      <c r="AF16" s="1260"/>
      <c r="AG16" s="1260"/>
      <c r="AH16" s="1260"/>
      <c r="AI16" s="1260"/>
      <c r="AJ16" s="1260"/>
      <c r="AK16" s="1260"/>
      <c r="AL16" s="1260"/>
      <c r="AM16" s="1260"/>
      <c r="AN16" s="1260"/>
      <c r="AO16" s="1260"/>
      <c r="AP16" s="1260"/>
      <c r="AQ16" s="1260"/>
      <c r="AR16" s="1418">
        <v>0</v>
      </c>
    </row>
    <row s="1854" customFormat="1" customHeight="1" ht="17.25">
      <c r="A17" s="322"/>
      <c r="C17" s="321"/>
      <c r="D17" s="2137"/>
      <c r="E17" s="2145"/>
      <c r="F17" s="2148"/>
      <c r="G17" s="2145"/>
      <c r="H17" s="1300"/>
      <c r="I17" s="1301"/>
      <c r="J17" s="1301"/>
      <c r="K17" s="1301"/>
      <c r="L17" s="1301"/>
      <c r="M17" s="1301"/>
      <c r="N17" s="1301"/>
      <c r="O17" s="1301"/>
      <c r="P17" s="1301"/>
      <c r="Q17" s="1301"/>
      <c r="R17" s="1301"/>
      <c r="S17" s="1302"/>
      <c r="T17" s="1302"/>
      <c r="U17" s="1302"/>
      <c r="V17" s="1302"/>
      <c r="W17" s="1303"/>
      <c r="Y17" s="1260"/>
      <c r="Z17" s="1260"/>
      <c r="AA17" s="1260"/>
      <c r="AB17" s="1260"/>
      <c r="AC17" s="1260"/>
      <c r="AD17" s="1260"/>
      <c r="AE17" s="1260"/>
      <c r="AF17" s="1260"/>
      <c r="AG17" s="1260"/>
      <c r="AH17" s="1260"/>
      <c r="AI17" s="1260"/>
      <c r="AJ17" s="1260"/>
      <c r="AK17" s="1260"/>
      <c r="AL17" s="1260"/>
      <c r="AM17" s="1260"/>
      <c r="AN17" s="1260"/>
      <c r="AO17" s="1260"/>
      <c r="AP17" s="1260"/>
      <c r="AQ17" s="1260"/>
      <c r="AR17" s="751">
        <v>0</v>
      </c>
    </row>
    <row s="1854" customFormat="1" customHeight="1" ht="23.25">
      <c r="A18" s="322"/>
      <c r="C18" s="210"/>
      <c r="D18" s="2136">
        <v>2</v>
      </c>
      <c r="E18" s="2165" t="s">
        <v>168</v>
      </c>
      <c r="F18" s="2146" t="s">
        <v>61</v>
      </c>
      <c r="G18" s="2633" t="str">
        <f>INDEX(VD_NAME_LIST,MATCH("4190064",VD_ID_LIST,0))&amp;"; "&amp;INDEX(VD_NAME_LIST,MATCH("4190065",VD_ID_LIST,0))&amp;"; "&amp;INDEX(VD_NAME_LIST,MATCH("4190066",VD_ID_LIST,0))&amp;"; "&amp;INDEX(VD_NAME_LIST,MATCH("4190068",VD_ID_LIST,0))&amp;"; "&amp;INDEX(VD_NAME_LIST,MATCH("4190070",VD_ID_LIST,0))</f>
        <v>Производство тепловой энергии. Некомбинированная выработка; Производство тепловой энергии. Комбинированная выработка с уст. мощностью производства электрической энергии менее 25 МВт; Производство тепловой энергии. Комбинированная выработка с уст. мощностью производства электрической энергии 25 МВт и более; Передача. Тепловая энергия; Сбыт. Тепловая энергия</v>
      </c>
      <c r="H18" s="2554"/>
      <c r="I18" s="2554">
        <v>1</v>
      </c>
      <c r="J18" s="2502" t="s">
        <v>169</v>
      </c>
      <c r="K18" s="2186" t="s">
        <v>61</v>
      </c>
      <c r="L18" s="2109"/>
      <c r="M18" s="2109" t="s">
        <v>118</v>
      </c>
      <c r="N18" s="2505" t="str">
        <f>IF(Z18="","",INDEX(TERRITORY_MR_LIST,MATCH(Z18,TERRITORY_LIST_ID,0)))</f>
        <v>Территория 1</v>
      </c>
      <c r="O18" s="2186" t="s">
        <v>19</v>
      </c>
      <c r="P18" s="2109"/>
      <c r="Q18" s="2109" t="s">
        <v>118</v>
      </c>
      <c r="R18" s="2634" t="s">
        <v>28</v>
      </c>
      <c r="S18" s="2108" t="s">
        <v>19</v>
      </c>
      <c r="T18" s="2109"/>
      <c r="U18" s="2109" t="s">
        <v>118</v>
      </c>
      <c r="V18" s="2634" t="s">
        <v>28</v>
      </c>
      <c r="W18" s="2502"/>
      <c r="X18" s="1268"/>
      <c r="Y18" s="1268"/>
      <c r="Z18" s="1268" t="s">
        <v>99</v>
      </c>
      <c r="AA18" s="1268"/>
      <c r="AB18" s="1268" t="s">
        <v>170</v>
      </c>
      <c r="AC18" s="1268" t="s">
        <v>171</v>
      </c>
      <c r="AD18" s="1268" t="s">
        <v>172</v>
      </c>
      <c r="AE18" s="1268" t="s">
        <v>173</v>
      </c>
      <c r="AF18" s="1268" t="s">
        <v>174</v>
      </c>
      <c r="AG18" s="1268" t="s">
        <v>175</v>
      </c>
      <c r="AH18" s="1268" t="str">
        <f>IF($E$18=0,"",$E$18)</f>
        <v>Тарифы на тепловую энергию (мощность), поставляемую теплоснабжающими организациями потребителям, другим теплоснабжающим организациям</v>
      </c>
      <c r="AI18" s="1268" t="str">
        <f>IF($G$18=0,"",$G$18)</f>
        <v>Производство тепловой энергии. Некомбинированная выработка; Производство тепловой энергии. Комбинированная выработка с уст. мощностью производства электрической энергии менее 25 МВт; Производство тепловой энергии. Комбинированная выработка с уст. мощностью производства электрической энергии 25 МВт и более; Передача. Тепловая энергия; Сбыт. Тепловая энергия</v>
      </c>
      <c r="AJ18" s="1268" t="str">
        <f>IF($J$18=0,"",$J$18)</f>
        <v>Тарифы на тепловую энергию (мощность) на коллекторах источников тепловой энергии</v>
      </c>
      <c r="AK18" s="1268" t="str">
        <f>IF($K$18="нет","без дифференциации",IF($N$18=0,"",$N$18))</f>
        <v>Территория 1</v>
      </c>
      <c r="AL18" s="1268" t="str">
        <f>IF($O$18="нет","без дифференциации",IF($R$18=0,"",$R$18))</f>
        <v>без дифференциации</v>
      </c>
      <c r="AM18" s="1268" t="str">
        <f>IF($S$18="нет","без дифференциации",IF($V$18=0,"",$V$18))</f>
        <v>без дифференциации</v>
      </c>
      <c r="AN18" s="1773">
        <f>$I$18</f>
        <v>1</v>
      </c>
      <c r="AO18" s="1268" t="str">
        <f>$I$18&amp;"."&amp;$M$18</f>
        <v>1.1</v>
      </c>
      <c r="AP18" s="1260" t="str">
        <f>$I$18&amp;"."&amp;$M$18&amp;"."&amp;$Q$18</f>
        <v>1.1.1</v>
      </c>
      <c r="AQ18" s="1260" t="str">
        <f>$I$18&amp;"."&amp;$M$18&amp;"."&amp;$Q$18&amp;"."&amp;$U$18</f>
        <v>1.1.1.1</v>
      </c>
      <c r="AR18" s="1284">
        <v>0</v>
      </c>
    </row>
    <row s="1854" customFormat="1" customHeight="1" ht="23.25">
      <c r="A19" s="322"/>
      <c r="C19" s="321"/>
      <c r="D19" s="2136"/>
      <c r="E19" s="2165"/>
      <c r="F19" s="2147"/>
      <c r="G19" s="2633"/>
      <c r="H19" s="2554"/>
      <c r="I19" s="2554"/>
      <c r="J19" s="2502"/>
      <c r="K19" s="2187"/>
      <c r="L19" s="2109"/>
      <c r="M19" s="2109"/>
      <c r="N19" s="2505"/>
      <c r="O19" s="2187"/>
      <c r="P19" s="2109"/>
      <c r="Q19" s="2109"/>
      <c r="R19" s="2634" t="s">
        <v>28</v>
      </c>
      <c r="S19" s="2108"/>
      <c r="T19" s="2635"/>
      <c r="U19" s="2636"/>
      <c r="V19" s="2637" t="s">
        <v>176</v>
      </c>
      <c r="W19" s="2638"/>
      <c r="X19" s="1260"/>
      <c r="Y19" s="1260"/>
      <c r="Z19" s="1260"/>
      <c r="AA19" s="1260"/>
      <c r="AB19" s="1260"/>
      <c r="AC19" s="1260"/>
      <c r="AD19" s="1260"/>
      <c r="AE19" s="1260"/>
      <c r="AF19" s="1260"/>
      <c r="AG19" s="1260"/>
      <c r="AH19" s="1260"/>
      <c r="AI19" s="1260"/>
      <c r="AJ19" s="1260"/>
      <c r="AK19" s="1260"/>
      <c r="AL19" s="1260"/>
      <c r="AM19" s="1260"/>
      <c r="AN19" s="1260"/>
      <c r="AO19" s="1260"/>
      <c r="AP19" s="1260"/>
      <c r="AQ19" s="1260"/>
      <c r="AR19" s="1284">
        <v>0</v>
      </c>
    </row>
    <row s="1854" customFormat="1" customHeight="1" ht="23.25">
      <c r="A20" s="322"/>
      <c r="C20" s="321"/>
      <c r="D20" s="2137"/>
      <c r="E20" s="2166"/>
      <c r="F20" s="2147"/>
      <c r="G20" s="2639"/>
      <c r="H20" s="2504"/>
      <c r="I20" s="2504"/>
      <c r="J20" s="2534"/>
      <c r="K20" s="2187"/>
      <c r="L20" s="2504"/>
      <c r="M20" s="2504"/>
      <c r="N20" s="2506"/>
      <c r="O20" s="2113"/>
      <c r="P20" s="2640"/>
      <c r="Q20" s="2641"/>
      <c r="R20" s="2642" t="s">
        <v>177</v>
      </c>
      <c r="S20" s="2643"/>
      <c r="T20" s="2644"/>
      <c r="U20" s="2645"/>
      <c r="V20" s="2646"/>
      <c r="W20" s="2647"/>
      <c r="X20" s="1260"/>
      <c r="Y20" s="1260"/>
      <c r="Z20" s="1260"/>
      <c r="AA20" s="1260"/>
      <c r="AB20" s="1260"/>
      <c r="AC20" s="1260"/>
      <c r="AD20" s="1260"/>
      <c r="AE20" s="1260"/>
      <c r="AF20" s="1260"/>
      <c r="AG20" s="1260"/>
      <c r="AH20" s="1260"/>
      <c r="AI20" s="1260"/>
      <c r="AJ20" s="1260"/>
      <c r="AK20" s="1260"/>
      <c r="AL20" s="1260"/>
      <c r="AM20" s="1260"/>
      <c r="AN20" s="1260"/>
      <c r="AO20" s="1260"/>
      <c r="AP20" s="1260"/>
      <c r="AQ20" s="1260"/>
      <c r="AR20" s="1284">
        <v>0</v>
      </c>
    </row>
    <row s="1854" customFormat="1" customHeight="1" ht="23.25">
      <c r="A21" s="322"/>
      <c r="C21" s="321"/>
      <c r="D21" s="2137"/>
      <c r="E21" s="2166"/>
      <c r="F21" s="2147"/>
      <c r="G21" s="2639"/>
      <c r="H21" s="2504"/>
      <c r="I21" s="2504"/>
      <c r="J21" s="2534"/>
      <c r="K21" s="2113"/>
      <c r="L21" s="2648"/>
      <c r="M21" s="2649"/>
      <c r="N21" s="2650" t="s">
        <v>178</v>
      </c>
      <c r="O21" s="2651"/>
      <c r="P21" s="2652"/>
      <c r="Q21" s="2653"/>
      <c r="R21" s="2654"/>
      <c r="S21" s="2655"/>
      <c r="T21" s="2656"/>
      <c r="U21" s="2657"/>
      <c r="V21" s="2658"/>
      <c r="W21" s="2659"/>
      <c r="X21" s="1260"/>
      <c r="Y21" s="1260"/>
      <c r="Z21" s="1260"/>
      <c r="AA21" s="1260"/>
      <c r="AB21" s="1260"/>
      <c r="AC21" s="1260"/>
      <c r="AD21" s="1260"/>
      <c r="AE21" s="1260"/>
      <c r="AF21" s="1260"/>
      <c r="AG21" s="1260"/>
      <c r="AH21" s="1260"/>
      <c r="AI21" s="1260"/>
      <c r="AJ21" s="1260"/>
      <c r="AK21" s="1260"/>
      <c r="AL21" s="1260"/>
      <c r="AM21" s="1260"/>
      <c r="AN21" s="1260"/>
      <c r="AO21" s="1260"/>
      <c r="AP21" s="1260"/>
      <c r="AQ21" s="1260"/>
      <c r="AR21" s="1284">
        <v>0</v>
      </c>
    </row>
    <row customHeight="1" ht="17.25">
      <c r="A22" s="1841"/>
      <c r="B22" s="1854"/>
      <c r="C22" s="1843"/>
      <c r="D22" s="1831"/>
      <c r="E22" s="1848"/>
      <c r="F22" s="1785"/>
      <c r="G22" s="1849"/>
      <c r="H22" s="2530" t="s">
        <v>104</v>
      </c>
      <c r="I22" s="2530" t="s">
        <v>103</v>
      </c>
      <c r="J22" s="2502" t="s">
        <v>179</v>
      </c>
      <c r="K22" s="2186" t="s">
        <v>61</v>
      </c>
      <c r="L22" s="2109"/>
      <c r="M22" s="2109" t="s">
        <v>118</v>
      </c>
      <c r="N22" s="2505" t="str">
        <f>IF(Z22="","",INDEX(TERRITORY_MR_LIST,MATCH(Z22,TERRITORY_LIST_ID,0)))</f>
        <v>Территория 1</v>
      </c>
      <c r="O22" s="2186" t="s">
        <v>19</v>
      </c>
      <c r="P22" s="2109"/>
      <c r="Q22" s="2109" t="s">
        <v>118</v>
      </c>
      <c r="R22" s="2660" t="s">
        <v>28</v>
      </c>
      <c r="S22" s="2108" t="s">
        <v>19</v>
      </c>
      <c r="T22" s="1812"/>
      <c r="U22" s="1812" t="s">
        <v>118</v>
      </c>
      <c r="V22" s="2661" t="s">
        <v>28</v>
      </c>
      <c r="W22" s="1802"/>
      <c r="X22" s="1854"/>
      <c r="Y22" s="1268"/>
      <c r="Z22" s="1268" t="s">
        <v>99</v>
      </c>
      <c r="AA22" s="1268"/>
      <c r="AB22" s="1268"/>
      <c r="AC22" s="1975" t="s">
        <v>171</v>
      </c>
      <c r="AD22" s="1268" t="s">
        <v>180</v>
      </c>
      <c r="AE22" s="1268" t="s">
        <v>181</v>
      </c>
      <c r="AF22" s="1268" t="s">
        <v>182</v>
      </c>
      <c r="AG22" s="1268" t="s">
        <v>183</v>
      </c>
      <c r="AH22" s="1268" t="str">
        <f>IF($E$18=0,"",$E$18)</f>
        <v>Тарифы на тепловую энергию (мощность), поставляемую теплоснабжающими организациями потребителям, другим теплоснабжающим организациям</v>
      </c>
      <c r="AI22" s="1268" t="str">
        <f>IF($G$18=0,"",$G$18)</f>
        <v>Производство тепловой энергии. Некомбинированная выработка; Производство тепловой энергии. Комбинированная выработка с уст. мощностью производства электрической энергии менее 25 МВт; Производство тепловой энергии. Комбинированная выработка с уст. мощностью производства электрической энергии 25 МВт и более; Передача. Тепловая энергия; Сбыт. Тепловая энергия</v>
      </c>
      <c r="AJ22" s="1268" t="str">
        <f>IF($J$22=0,"",$J$22)</f>
        <v>Тарифы на тепловую энергию (мощность), поставляемую потребителям</v>
      </c>
      <c r="AK22" s="1268" t="str">
        <f>IF($K$22="нет","без дифференциации",IF($N$22=0,"",$N$22))</f>
        <v>Территория 1</v>
      </c>
      <c r="AL22" s="1845" t="str">
        <f>IF($O$22="нет","без дифференциации",IF($R$22=0,"",$R$22))</f>
        <v>без дифференциации</v>
      </c>
      <c r="AM22" s="1845" t="str">
        <f>IF($S$22="нет","без дифференциации",IF($V$22=0,"",$V$22))</f>
        <v>без дифференциации</v>
      </c>
      <c r="AN22" s="1268" t="str">
        <f>$I$22</f>
        <v>2</v>
      </c>
      <c r="AO22" s="1268" t="str">
        <f>$I$22&amp;"."&amp;$M$22</f>
        <v>2.1</v>
      </c>
      <c r="AP22" s="1268" t="str">
        <f>$I$22&amp;"."&amp;$M$22&amp;"."&amp;$Q$22</f>
        <v>2.1.1</v>
      </c>
      <c r="AQ22" s="1268" t="str">
        <f>$I$22&amp;"."&amp;$M$22&amp;"."&amp;$Q$22&amp;"."&amp;$U$22</f>
        <v>2.1.1.1</v>
      </c>
      <c r="AR22" s="1854"/>
    </row>
    <row customHeight="1" ht="17.25">
      <c r="A23" s="1841"/>
      <c r="B23" s="1854"/>
      <c r="C23" s="1846"/>
      <c r="D23" s="1831"/>
      <c r="E23" s="1848"/>
      <c r="F23" s="1785"/>
      <c r="G23" s="1849"/>
      <c r="H23" s="2530"/>
      <c r="I23" s="2530"/>
      <c r="J23" s="2502"/>
      <c r="K23" s="2187"/>
      <c r="L23" s="2109"/>
      <c r="M23" s="2109"/>
      <c r="N23" s="2505"/>
      <c r="O23" s="2187"/>
      <c r="P23" s="2109"/>
      <c r="Q23" s="2109"/>
      <c r="R23" s="2660" t="s">
        <v>28</v>
      </c>
      <c r="S23" s="2108"/>
      <c r="T23" s="318"/>
      <c r="U23" s="319"/>
      <c r="V23" s="319" t="s">
        <v>176</v>
      </c>
      <c r="W23" s="320"/>
      <c r="X23" s="1854"/>
      <c r="Y23" s="1260"/>
      <c r="Z23" s="1260"/>
      <c r="AA23" s="1260"/>
      <c r="AB23" s="1260"/>
      <c r="AC23" s="1260"/>
      <c r="AD23" s="1260"/>
      <c r="AE23" s="1260"/>
      <c r="AF23" s="1260"/>
      <c r="AG23" s="1260"/>
      <c r="AH23" s="1260"/>
      <c r="AI23" s="1260"/>
      <c r="AJ23" s="1260"/>
      <c r="AK23" s="1260"/>
      <c r="AL23" s="1854"/>
      <c r="AM23" s="1854"/>
      <c r="AN23" s="1854"/>
      <c r="AO23" s="1854"/>
      <c r="AP23" s="1854"/>
      <c r="AQ23" s="1854"/>
      <c r="AR23" s="1854"/>
    </row>
    <row customHeight="1" ht="17.25">
      <c r="A24" s="1841"/>
      <c r="B24" s="1854"/>
      <c r="C24" s="1846"/>
      <c r="D24" s="1831"/>
      <c r="E24" s="1848"/>
      <c r="F24" s="1785"/>
      <c r="G24" s="1849"/>
      <c r="H24" s="2504"/>
      <c r="I24" s="2504"/>
      <c r="J24" s="2534"/>
      <c r="K24" s="2187"/>
      <c r="L24" s="2504"/>
      <c r="M24" s="2504"/>
      <c r="N24" s="2506"/>
      <c r="O24" s="2113"/>
      <c r="P24" s="318"/>
      <c r="Q24" s="319"/>
      <c r="R24" s="319" t="s">
        <v>177</v>
      </c>
      <c r="S24" s="1847"/>
      <c r="T24" s="1847"/>
      <c r="U24" s="1847"/>
      <c r="V24" s="1847"/>
      <c r="W24" s="320"/>
      <c r="X24" s="1854"/>
      <c r="Y24" s="1260"/>
      <c r="Z24" s="1260"/>
      <c r="AA24" s="1260"/>
      <c r="AB24" s="1260"/>
      <c r="AC24" s="1260"/>
      <c r="AD24" s="1260"/>
      <c r="AE24" s="1260"/>
      <c r="AF24" s="1260"/>
      <c r="AG24" s="1260"/>
      <c r="AH24" s="1260"/>
      <c r="AI24" s="1260"/>
      <c r="AJ24" s="1260"/>
      <c r="AK24" s="1260"/>
      <c r="AL24" s="1854"/>
      <c r="AM24" s="1854"/>
      <c r="AN24" s="1854"/>
      <c r="AO24" s="1854"/>
      <c r="AP24" s="1854"/>
      <c r="AQ24" s="1854"/>
      <c r="AR24" s="1854"/>
    </row>
    <row customHeight="1" ht="17.25">
      <c r="A25" s="1841"/>
      <c r="B25" s="1854"/>
      <c r="C25" s="1846"/>
      <c r="D25" s="1831"/>
      <c r="E25" s="1848"/>
      <c r="F25" s="1785"/>
      <c r="G25" s="1849"/>
      <c r="H25" s="2504"/>
      <c r="I25" s="2504"/>
      <c r="J25" s="2534"/>
      <c r="K25" s="2113"/>
      <c r="L25" s="318"/>
      <c r="M25" s="319"/>
      <c r="N25" s="319" t="s">
        <v>178</v>
      </c>
      <c r="O25" s="319"/>
      <c r="P25" s="319"/>
      <c r="Q25" s="319"/>
      <c r="R25" s="319"/>
      <c r="S25" s="1847"/>
      <c r="T25" s="1847"/>
      <c r="U25" s="1847"/>
      <c r="V25" s="1847"/>
      <c r="W25" s="320"/>
      <c r="X25" s="1854"/>
      <c r="Y25" s="1260"/>
      <c r="Z25" s="1260"/>
      <c r="AA25" s="1260"/>
      <c r="AB25" s="1260"/>
      <c r="AC25" s="1260"/>
      <c r="AD25" s="1260"/>
      <c r="AE25" s="1260"/>
      <c r="AF25" s="1260"/>
      <c r="AG25" s="1260"/>
      <c r="AH25" s="1260"/>
      <c r="AI25" s="1260"/>
      <c r="AJ25" s="1260"/>
      <c r="AK25" s="1260"/>
      <c r="AL25" s="1854"/>
      <c r="AM25" s="1854"/>
      <c r="AN25" s="1854"/>
      <c r="AO25" s="1854"/>
      <c r="AP25" s="1854"/>
      <c r="AQ25" s="1854"/>
      <c r="AR25" s="1854"/>
    </row>
    <row s="1854" customFormat="1" customHeight="1" ht="23.25">
      <c r="A26" s="322"/>
      <c r="C26" s="321"/>
      <c r="D26" s="2137"/>
      <c r="E26" s="2166"/>
      <c r="F26" s="2148"/>
      <c r="G26" s="2639"/>
      <c r="H26" s="2662"/>
      <c r="I26" s="2663"/>
      <c r="J26" s="2664" t="s">
        <v>184</v>
      </c>
      <c r="K26" s="2665"/>
      <c r="L26" s="2666"/>
      <c r="M26" s="2667"/>
      <c r="N26" s="2668"/>
      <c r="O26" s="2669"/>
      <c r="P26" s="2670"/>
      <c r="Q26" s="2671"/>
      <c r="R26" s="2672"/>
      <c r="S26" s="2673"/>
      <c r="T26" s="2674"/>
      <c r="U26" s="2675"/>
      <c r="V26" s="2676"/>
      <c r="W26" s="2677"/>
      <c r="X26" s="1260"/>
      <c r="Y26" s="1260"/>
      <c r="Z26" s="1260"/>
      <c r="AA26" s="1260"/>
      <c r="AB26" s="1260"/>
      <c r="AC26" s="1260"/>
      <c r="AD26" s="1260"/>
      <c r="AE26" s="1260"/>
      <c r="AF26" s="1260"/>
      <c r="AG26" s="1260"/>
      <c r="AH26" s="1260"/>
      <c r="AI26" s="1260"/>
      <c r="AJ26" s="1260"/>
      <c r="AK26" s="1260"/>
      <c r="AL26" s="1260"/>
      <c r="AM26" s="1260"/>
      <c r="AN26" s="1260"/>
      <c r="AO26" s="1260"/>
      <c r="AP26" s="1260"/>
      <c r="AQ26" s="1260"/>
      <c r="AR26" s="1284">
        <v>0</v>
      </c>
    </row>
    <row s="1854" customFormat="1" customHeight="1" ht="17.25" hidden="1">
      <c r="A27" s="322"/>
      <c r="C27" s="210"/>
      <c r="D27" s="2136">
        <v>2</v>
      </c>
      <c r="E27" s="2144" t="s">
        <v>168</v>
      </c>
      <c r="F27" s="2146" t="s">
        <v>19</v>
      </c>
      <c r="G27" s="2144"/>
      <c r="H27" s="2149"/>
      <c r="I27" s="2151"/>
      <c r="J27" s="2153"/>
      <c r="K27" s="2138"/>
      <c r="L27" s="2138"/>
      <c r="M27" s="2138"/>
      <c r="N27" s="2140"/>
      <c r="O27" s="2138"/>
      <c r="P27" s="2138"/>
      <c r="Q27" s="2138"/>
      <c r="R27" s="2143"/>
      <c r="S27" s="2138"/>
      <c r="T27" s="1999"/>
      <c r="U27" s="1999"/>
      <c r="V27" s="2001"/>
      <c r="W27" s="1297"/>
      <c r="X27" s="1268"/>
      <c r="Y27" s="1268"/>
      <c r="Z27" s="1268" t="s">
        <v>28</v>
      </c>
      <c r="AA27" s="1268" t="s">
        <v>28</v>
      </c>
      <c r="AB27" s="1268" t="s">
        <v>28</v>
      </c>
      <c r="AC27" s="1268" t="s">
        <v>28</v>
      </c>
      <c r="AD27" s="1268" t="s">
        <v>28</v>
      </c>
      <c r="AE27" s="1268" t="s">
        <v>28</v>
      </c>
      <c r="AF27" s="1268" t="s">
        <v>28</v>
      </c>
      <c r="AG27" s="1268" t="s">
        <v>28</v>
      </c>
      <c r="AH27" s="1268" t="s">
        <v>28</v>
      </c>
      <c r="AI27" s="1268" t="s">
        <v>28</v>
      </c>
      <c r="AJ27" s="1268" t="s">
        <v>28</v>
      </c>
      <c r="AK27" s="1268" t="s">
        <v>28</v>
      </c>
      <c r="AL27" s="1268" t="s">
        <v>28</v>
      </c>
      <c r="AM27" s="1268" t="s">
        <v>28</v>
      </c>
      <c r="AN27" s="1773" t="s">
        <v>28</v>
      </c>
      <c r="AO27" s="1268" t="s">
        <v>28</v>
      </c>
      <c r="AP27" s="1267" t="s">
        <v>28</v>
      </c>
      <c r="AQ27" s="1267" t="s">
        <v>28</v>
      </c>
      <c r="AR27" s="1468">
        <v>0</v>
      </c>
    </row>
    <row s="1854" customFormat="1" customHeight="1" ht="17.25" hidden="1">
      <c r="A28" s="322"/>
      <c r="C28" s="321"/>
      <c r="D28" s="2136"/>
      <c r="E28" s="2144"/>
      <c r="F28" s="2147"/>
      <c r="G28" s="2144"/>
      <c r="H28" s="2150"/>
      <c r="I28" s="2152"/>
      <c r="J28" s="2154"/>
      <c r="K28" s="2139"/>
      <c r="L28" s="2139"/>
      <c r="M28" s="2139"/>
      <c r="N28" s="2141"/>
      <c r="O28" s="2139"/>
      <c r="P28" s="2139"/>
      <c r="Q28" s="2139"/>
      <c r="R28" s="2142"/>
      <c r="S28" s="2139"/>
      <c r="T28" s="2004"/>
      <c r="U28" s="2004"/>
      <c r="V28" s="2004"/>
      <c r="W28" s="2005"/>
      <c r="X28" s="1267"/>
      <c r="Y28" s="1267"/>
      <c r="Z28" s="1267"/>
      <c r="AA28" s="1267"/>
      <c r="AB28" s="1267"/>
      <c r="AC28" s="1267"/>
      <c r="AD28" s="1267"/>
      <c r="AE28" s="1267"/>
      <c r="AF28" s="1267"/>
      <c r="AG28" s="1267"/>
      <c r="AH28" s="1267"/>
      <c r="AI28" s="1267"/>
      <c r="AJ28" s="1267"/>
      <c r="AK28" s="1267"/>
      <c r="AL28" s="1267"/>
      <c r="AM28" s="1267"/>
      <c r="AN28" s="1267"/>
      <c r="AO28" s="1267"/>
      <c r="AP28" s="1267"/>
      <c r="AQ28" s="1267"/>
      <c r="AR28" s="1468">
        <v>0</v>
      </c>
    </row>
    <row s="1854" customFormat="1" customHeight="1" ht="17.25" hidden="1">
      <c r="A29" s="322"/>
      <c r="C29" s="321"/>
      <c r="D29" s="2137"/>
      <c r="E29" s="2145"/>
      <c r="F29" s="2147"/>
      <c r="G29" s="2145"/>
      <c r="H29" s="2150"/>
      <c r="I29" s="2152"/>
      <c r="J29" s="2155"/>
      <c r="K29" s="2139"/>
      <c r="L29" s="2139"/>
      <c r="M29" s="2139"/>
      <c r="N29" s="2142"/>
      <c r="O29" s="2139"/>
      <c r="P29" s="2000"/>
      <c r="Q29" s="2004"/>
      <c r="R29" s="2004"/>
      <c r="S29" s="330"/>
      <c r="T29" s="330"/>
      <c r="U29" s="330"/>
      <c r="V29" s="330"/>
      <c r="W29" s="2005"/>
      <c r="X29" s="1267"/>
      <c r="Y29" s="1267"/>
      <c r="Z29" s="1267"/>
      <c r="AA29" s="1267"/>
      <c r="AB29" s="1267"/>
      <c r="AC29" s="1267"/>
      <c r="AD29" s="1267"/>
      <c r="AE29" s="1267"/>
      <c r="AF29" s="1267"/>
      <c r="AG29" s="1267"/>
      <c r="AH29" s="1267"/>
      <c r="AI29" s="1267"/>
      <c r="AJ29" s="1267"/>
      <c r="AK29" s="1267"/>
      <c r="AL29" s="1267"/>
      <c r="AM29" s="1267"/>
      <c r="AN29" s="1267"/>
      <c r="AO29" s="1267"/>
      <c r="AP29" s="1267"/>
      <c r="AQ29" s="1267"/>
      <c r="AR29" s="1468">
        <v>0</v>
      </c>
    </row>
    <row s="1854" customFormat="1" customHeight="1" ht="17.25" hidden="1">
      <c r="A30" s="322"/>
      <c r="C30" s="321"/>
      <c r="D30" s="2137"/>
      <c r="E30" s="2145"/>
      <c r="F30" s="2147"/>
      <c r="G30" s="2145"/>
      <c r="H30" s="2150"/>
      <c r="I30" s="2152"/>
      <c r="J30" s="2155"/>
      <c r="K30" s="2139"/>
      <c r="L30" s="2004"/>
      <c r="M30" s="2004"/>
      <c r="N30" s="2004"/>
      <c r="O30" s="2004"/>
      <c r="P30" s="2004"/>
      <c r="Q30" s="2004"/>
      <c r="R30" s="2004"/>
      <c r="S30" s="330"/>
      <c r="T30" s="330"/>
      <c r="U30" s="330"/>
      <c r="V30" s="330"/>
      <c r="W30" s="2005"/>
      <c r="X30" s="1267"/>
      <c r="Y30" s="1267"/>
      <c r="Z30" s="1267"/>
      <c r="AA30" s="1267"/>
      <c r="AB30" s="1267"/>
      <c r="AC30" s="1267"/>
      <c r="AD30" s="1267"/>
      <c r="AE30" s="1267"/>
      <c r="AF30" s="1267"/>
      <c r="AG30" s="1267"/>
      <c r="AH30" s="1267"/>
      <c r="AI30" s="1267"/>
      <c r="AJ30" s="1267"/>
      <c r="AK30" s="1267"/>
      <c r="AL30" s="1267"/>
      <c r="AM30" s="1267"/>
      <c r="AN30" s="1267"/>
      <c r="AO30" s="1267"/>
      <c r="AP30" s="1267"/>
      <c r="AQ30" s="1267"/>
      <c r="AR30" s="1468">
        <v>0</v>
      </c>
    </row>
    <row s="1854" customFormat="1" customHeight="1" ht="17.25" hidden="1">
      <c r="A31" s="322"/>
      <c r="C31" s="321"/>
      <c r="D31" s="2137"/>
      <c r="E31" s="2145"/>
      <c r="F31" s="2148"/>
      <c r="G31" s="2145"/>
      <c r="H31" s="1300"/>
      <c r="I31" s="2002"/>
      <c r="J31" s="2002"/>
      <c r="K31" s="2002"/>
      <c r="L31" s="2002"/>
      <c r="M31" s="2002"/>
      <c r="N31" s="2002"/>
      <c r="O31" s="2002"/>
      <c r="P31" s="2002"/>
      <c r="Q31" s="2002"/>
      <c r="R31" s="2002"/>
      <c r="S31" s="1302"/>
      <c r="T31" s="1302"/>
      <c r="U31" s="1302"/>
      <c r="V31" s="1302"/>
      <c r="W31" s="2003"/>
      <c r="X31" s="1267"/>
      <c r="Y31" s="1267"/>
      <c r="Z31" s="1267"/>
      <c r="AA31" s="1267"/>
      <c r="AB31" s="1267"/>
      <c r="AC31" s="1267"/>
      <c r="AD31" s="1267"/>
      <c r="AE31" s="1267"/>
      <c r="AF31" s="1267"/>
      <c r="AG31" s="1267"/>
      <c r="AH31" s="1267"/>
      <c r="AI31" s="1267"/>
      <c r="AJ31" s="1267"/>
      <c r="AK31" s="1267"/>
      <c r="AL31" s="1267"/>
      <c r="AM31" s="1267"/>
      <c r="AN31" s="1267"/>
      <c r="AO31" s="1267"/>
      <c r="AP31" s="1267"/>
      <c r="AQ31" s="1267"/>
      <c r="AR31" s="1468">
        <v>0</v>
      </c>
    </row>
    <row s="1854" customFormat="1" customHeight="1" ht="17.25">
      <c r="A32" s="322"/>
      <c r="C32" s="210"/>
      <c r="D32" s="2136">
        <v>3</v>
      </c>
      <c r="E32" s="2144" t="s">
        <v>185</v>
      </c>
      <c r="F32" s="2146" t="s">
        <v>19</v>
      </c>
      <c r="G32" s="2144"/>
      <c r="H32" s="2149"/>
      <c r="I32" s="2151"/>
      <c r="J32" s="2153"/>
      <c r="K32" s="2138"/>
      <c r="L32" s="2138"/>
      <c r="M32" s="2138"/>
      <c r="N32" s="2140"/>
      <c r="O32" s="2138"/>
      <c r="P32" s="2138"/>
      <c r="Q32" s="2138"/>
      <c r="R32" s="2143"/>
      <c r="S32" s="2138"/>
      <c r="T32" s="1421"/>
      <c r="U32" s="1421"/>
      <c r="V32" s="1420"/>
      <c r="W32" s="1297"/>
      <c r="X32" s="1268"/>
      <c r="Y32" s="1268"/>
      <c r="Z32" s="1268"/>
      <c r="AA32" s="1268"/>
      <c r="AB32" s="1268"/>
      <c r="AC32" s="1268" t="s">
        <v>186</v>
      </c>
      <c r="AD32" s="1268" t="s">
        <v>187</v>
      </c>
      <c r="AE32" s="1268" t="s">
        <v>188</v>
      </c>
      <c r="AF32" s="1268" t="s">
        <v>189</v>
      </c>
      <c r="AG32" s="1268" t="s">
        <v>190</v>
      </c>
      <c r="AH32" s="1268" t="str">
        <f>IF($E$32=0,"",$E$32)</f>
        <v>Тарифы на теплоноситель, поставляемый теплоснабжающими организациями потребителям, другим теплоснабжающим организациям</v>
      </c>
      <c r="AI32" s="1268" t="str">
        <f>IF($G$32=0,"",$G$32)</f>
        <v/>
      </c>
      <c r="AJ32" s="1268" t="str">
        <f>IF($J$32=0,"",$J$32)</f>
        <v/>
      </c>
      <c r="AK32" s="1268" t="str">
        <f>IF($K$32="нет","без дифференциации",IF($N$32=0,"",$N$32))</f>
        <v/>
      </c>
      <c r="AL32" s="1268" t="str">
        <f>IF($O$32="нет","без дифференциации",IF($R$32=0,"",$R$32))</f>
        <v/>
      </c>
      <c r="AM32" s="1268" t="str">
        <f>IF($S$32="нет","без дифференциации",IF($V$32=0,"",$V$32))</f>
        <v/>
      </c>
      <c r="AN32" s="1773">
        <f>$I$32</f>
        <v>0</v>
      </c>
      <c r="AO32" s="1268" t="str">
        <f>$I$32&amp;"."&amp;$M$32</f>
        <v>.</v>
      </c>
      <c r="AP32" s="1260" t="str">
        <f>$I$32&amp;"."&amp;$M$32&amp;"."&amp;$Q$32</f>
        <v>..</v>
      </c>
      <c r="AQ32" s="1260" t="str">
        <f>$I$32&amp;"."&amp;$M$32&amp;"."&amp;$Q$32&amp;"."&amp;$U$32</f>
        <v>...</v>
      </c>
      <c r="AR32" s="1284">
        <v>0</v>
      </c>
    </row>
    <row s="1854" customFormat="1" customHeight="1" ht="17.25">
      <c r="A33" s="322"/>
      <c r="C33" s="321"/>
      <c r="D33" s="2136"/>
      <c r="E33" s="2144"/>
      <c r="F33" s="2147"/>
      <c r="G33" s="2144"/>
      <c r="H33" s="2150"/>
      <c r="I33" s="2152"/>
      <c r="J33" s="2154"/>
      <c r="K33" s="2139"/>
      <c r="L33" s="2139"/>
      <c r="M33" s="2139"/>
      <c r="N33" s="2141"/>
      <c r="O33" s="2139"/>
      <c r="P33" s="2139"/>
      <c r="Q33" s="2139"/>
      <c r="R33" s="2142"/>
      <c r="S33" s="2139"/>
      <c r="T33" s="1298"/>
      <c r="U33" s="1298"/>
      <c r="V33" s="1298"/>
      <c r="W33" s="1299"/>
      <c r="X33" s="1260"/>
      <c r="Y33" s="1260"/>
      <c r="Z33" s="1260"/>
      <c r="AA33" s="1260"/>
      <c r="AB33" s="1260"/>
      <c r="AC33" s="1260"/>
      <c r="AD33" s="1260"/>
      <c r="AE33" s="1260"/>
      <c r="AF33" s="1260"/>
      <c r="AG33" s="1260"/>
      <c r="AH33" s="1260"/>
      <c r="AI33" s="1260"/>
      <c r="AJ33" s="1260"/>
      <c r="AK33" s="1260"/>
      <c r="AL33" s="1260"/>
      <c r="AM33" s="1260"/>
      <c r="AN33" s="1260"/>
      <c r="AO33" s="1260"/>
      <c r="AP33" s="1260"/>
      <c r="AQ33" s="1260"/>
      <c r="AR33" s="1284">
        <v>0</v>
      </c>
    </row>
    <row s="1854" customFormat="1" customHeight="1" ht="17.25">
      <c r="A34" s="322"/>
      <c r="C34" s="321"/>
      <c r="D34" s="2137"/>
      <c r="E34" s="2145"/>
      <c r="F34" s="2147"/>
      <c r="G34" s="2145"/>
      <c r="H34" s="2150"/>
      <c r="I34" s="2152"/>
      <c r="J34" s="2155"/>
      <c r="K34" s="2139"/>
      <c r="L34" s="2139"/>
      <c r="M34" s="2139"/>
      <c r="N34" s="2142"/>
      <c r="O34" s="2139"/>
      <c r="P34" s="1419"/>
      <c r="Q34" s="1298"/>
      <c r="R34" s="1298"/>
      <c r="S34" s="330"/>
      <c r="T34" s="330"/>
      <c r="U34" s="330"/>
      <c r="V34" s="330"/>
      <c r="W34" s="1299"/>
      <c r="X34" s="1260"/>
      <c r="Y34" s="1260"/>
      <c r="Z34" s="1260"/>
      <c r="AA34" s="1260"/>
      <c r="AB34" s="1260"/>
      <c r="AC34" s="1260"/>
      <c r="AD34" s="1260"/>
      <c r="AE34" s="1260"/>
      <c r="AF34" s="1260"/>
      <c r="AG34" s="1260"/>
      <c r="AH34" s="1260"/>
      <c r="AI34" s="1260"/>
      <c r="AJ34" s="1260"/>
      <c r="AK34" s="1260"/>
      <c r="AL34" s="1260"/>
      <c r="AM34" s="1260"/>
      <c r="AN34" s="1260"/>
      <c r="AO34" s="1260"/>
      <c r="AP34" s="1260"/>
      <c r="AQ34" s="1260"/>
      <c r="AR34" s="1284">
        <v>0</v>
      </c>
    </row>
    <row s="1854" customFormat="1" customHeight="1" ht="17.25">
      <c r="A35" s="322"/>
      <c r="C35" s="321"/>
      <c r="D35" s="2137"/>
      <c r="E35" s="2145"/>
      <c r="F35" s="2147"/>
      <c r="G35" s="2145"/>
      <c r="H35" s="2150"/>
      <c r="I35" s="2152"/>
      <c r="J35" s="2155"/>
      <c r="K35" s="2139"/>
      <c r="L35" s="1298"/>
      <c r="M35" s="1298"/>
      <c r="N35" s="1298"/>
      <c r="O35" s="1298"/>
      <c r="P35" s="1298"/>
      <c r="Q35" s="1298"/>
      <c r="R35" s="1298"/>
      <c r="S35" s="330"/>
      <c r="T35" s="330"/>
      <c r="U35" s="330"/>
      <c r="V35" s="330"/>
      <c r="W35" s="1299"/>
      <c r="X35" s="1260"/>
      <c r="Y35" s="1260"/>
      <c r="Z35" s="1260"/>
      <c r="AA35" s="1260"/>
      <c r="AB35" s="1260"/>
      <c r="AC35" s="1260"/>
      <c r="AD35" s="1260"/>
      <c r="AE35" s="1260"/>
      <c r="AF35" s="1260"/>
      <c r="AG35" s="1260"/>
      <c r="AH35" s="1260"/>
      <c r="AI35" s="1260"/>
      <c r="AJ35" s="1260"/>
      <c r="AK35" s="1260"/>
      <c r="AL35" s="1260"/>
      <c r="AM35" s="1260"/>
      <c r="AN35" s="1260"/>
      <c r="AO35" s="1260"/>
      <c r="AP35" s="1260"/>
      <c r="AQ35" s="1260"/>
      <c r="AR35" s="1284">
        <v>0</v>
      </c>
    </row>
    <row s="1854" customFormat="1" customHeight="1" ht="17.25">
      <c r="A36" s="322"/>
      <c r="C36" s="321"/>
      <c r="D36" s="2137"/>
      <c r="E36" s="2145"/>
      <c r="F36" s="2148"/>
      <c r="G36" s="2145"/>
      <c r="H36" s="1300"/>
      <c r="I36" s="1301"/>
      <c r="J36" s="1301"/>
      <c r="K36" s="1301"/>
      <c r="L36" s="1301"/>
      <c r="M36" s="1301"/>
      <c r="N36" s="1301"/>
      <c r="O36" s="1301"/>
      <c r="P36" s="1301"/>
      <c r="Q36" s="1301"/>
      <c r="R36" s="1301"/>
      <c r="S36" s="1302"/>
      <c r="T36" s="1302"/>
      <c r="U36" s="1302"/>
      <c r="V36" s="1302"/>
      <c r="W36" s="1303"/>
      <c r="X36" s="1260"/>
      <c r="Y36" s="1260"/>
      <c r="Z36" s="1260"/>
      <c r="AA36" s="1260"/>
      <c r="AB36" s="1260"/>
      <c r="AC36" s="1260"/>
      <c r="AD36" s="1260"/>
      <c r="AE36" s="1260"/>
      <c r="AF36" s="1260"/>
      <c r="AG36" s="1260"/>
      <c r="AH36" s="1260"/>
      <c r="AI36" s="1260"/>
      <c r="AJ36" s="1260"/>
      <c r="AK36" s="1260"/>
      <c r="AL36" s="1260"/>
      <c r="AM36" s="1260"/>
      <c r="AN36" s="1260"/>
      <c r="AO36" s="1260"/>
      <c r="AP36" s="1260"/>
      <c r="AQ36" s="1260"/>
      <c r="AR36" s="1284">
        <v>0</v>
      </c>
    </row>
    <row s="1854" customFormat="1" customHeight="1" ht="17.25">
      <c r="A37" s="322"/>
      <c r="C37" s="210"/>
      <c r="D37" s="2136">
        <v>4</v>
      </c>
      <c r="E37" s="2144" t="s">
        <v>191</v>
      </c>
      <c r="F37" s="2146" t="s">
        <v>19</v>
      </c>
      <c r="G37" s="2144"/>
      <c r="H37" s="2149"/>
      <c r="I37" s="2151"/>
      <c r="J37" s="2153"/>
      <c r="K37" s="2138"/>
      <c r="L37" s="2138"/>
      <c r="M37" s="2138"/>
      <c r="N37" s="2140"/>
      <c r="O37" s="2138"/>
      <c r="P37" s="2138"/>
      <c r="Q37" s="2138"/>
      <c r="R37" s="2143"/>
      <c r="S37" s="2138"/>
      <c r="T37" s="1421"/>
      <c r="U37" s="1421"/>
      <c r="V37" s="1420"/>
      <c r="W37" s="1297"/>
      <c r="X37" s="1268"/>
      <c r="Y37" s="1268"/>
      <c r="Z37" s="1268"/>
      <c r="AA37" s="1268"/>
      <c r="AB37" s="1268"/>
      <c r="AC37" s="1268" t="s">
        <v>192</v>
      </c>
      <c r="AD37" s="1268" t="s">
        <v>193</v>
      </c>
      <c r="AE37" s="1268" t="s">
        <v>194</v>
      </c>
      <c r="AF37" s="1268" t="s">
        <v>195</v>
      </c>
      <c r="AG37" s="1268" t="s">
        <v>196</v>
      </c>
      <c r="AH37" s="1268" t="str">
        <f>IF($E$37=0,"",$E$37)</f>
        <v>Тарифы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v>
      </c>
      <c r="AI37" s="1268" t="str">
        <f>IF($G$37=0,"",$G$37)</f>
        <v/>
      </c>
      <c r="AJ37" s="1268" t="str">
        <f>IF($J$37=0,"",$J$37)</f>
        <v/>
      </c>
      <c r="AK37" s="1268" t="str">
        <f>IF($K$37="нет","без дифференциации",IF($N$37=0,"",$N$37))</f>
        <v/>
      </c>
      <c r="AL37" s="1268" t="str">
        <f>IF($O$37="нет","без дифференциации",IF($R$37=0,"",$R$37))</f>
        <v/>
      </c>
      <c r="AM37" s="1268" t="str">
        <f>IF($S$37="нет","без дифференциации",IF($V$37=0,"",$V$37))</f>
        <v/>
      </c>
      <c r="AN37" s="1773">
        <f>$I$37</f>
        <v>0</v>
      </c>
      <c r="AO37" s="1268" t="str">
        <f>$I$37&amp;"."&amp;$M$37</f>
        <v>.</v>
      </c>
      <c r="AP37" s="1260" t="str">
        <f>$I$37&amp;"."&amp;$M$37&amp;"."&amp;$Q$37</f>
        <v>..</v>
      </c>
      <c r="AQ37" s="1260" t="str">
        <f>$I$37&amp;"."&amp;$M$37&amp;"."&amp;$Q$37&amp;"."&amp;$U$37</f>
        <v>...</v>
      </c>
      <c r="AR37" s="1284">
        <v>0</v>
      </c>
    </row>
    <row s="1854" customFormat="1" customHeight="1" ht="17.25">
      <c r="A38" s="322"/>
      <c r="C38" s="321"/>
      <c r="D38" s="2136"/>
      <c r="E38" s="2144"/>
      <c r="F38" s="2147"/>
      <c r="G38" s="2144"/>
      <c r="H38" s="2150"/>
      <c r="I38" s="2152"/>
      <c r="J38" s="2154"/>
      <c r="K38" s="2139"/>
      <c r="L38" s="2139"/>
      <c r="M38" s="2139"/>
      <c r="N38" s="2141"/>
      <c r="O38" s="2139"/>
      <c r="P38" s="2139"/>
      <c r="Q38" s="2139"/>
      <c r="R38" s="2142"/>
      <c r="S38" s="2139"/>
      <c r="T38" s="1298"/>
      <c r="U38" s="1298"/>
      <c r="V38" s="1298"/>
      <c r="W38" s="1299"/>
      <c r="X38" s="1260"/>
      <c r="Y38" s="1260"/>
      <c r="Z38" s="1260"/>
      <c r="AA38" s="1260"/>
      <c r="AB38" s="1260"/>
      <c r="AC38" s="1260"/>
      <c r="AD38" s="1260"/>
      <c r="AE38" s="1260"/>
      <c r="AF38" s="1260"/>
      <c r="AG38" s="1260"/>
      <c r="AH38" s="1260"/>
      <c r="AI38" s="1260"/>
      <c r="AJ38" s="1260"/>
      <c r="AK38" s="1260"/>
      <c r="AL38" s="1260"/>
      <c r="AM38" s="1260"/>
      <c r="AN38" s="1260"/>
      <c r="AO38" s="1260"/>
      <c r="AP38" s="1260"/>
      <c r="AQ38" s="1260"/>
      <c r="AR38" s="1284">
        <v>0</v>
      </c>
    </row>
    <row s="1854" customFormat="1" customHeight="1" ht="17.25">
      <c r="A39" s="322"/>
      <c r="C39" s="321"/>
      <c r="D39" s="2137"/>
      <c r="E39" s="2145"/>
      <c r="F39" s="2147"/>
      <c r="G39" s="2145"/>
      <c r="H39" s="2150"/>
      <c r="I39" s="2152"/>
      <c r="J39" s="2155"/>
      <c r="K39" s="2139"/>
      <c r="L39" s="2139"/>
      <c r="M39" s="2139"/>
      <c r="N39" s="2142"/>
      <c r="O39" s="2139"/>
      <c r="P39" s="1419"/>
      <c r="Q39" s="1298"/>
      <c r="R39" s="1298"/>
      <c r="S39" s="330"/>
      <c r="T39" s="330"/>
      <c r="U39" s="330"/>
      <c r="V39" s="330"/>
      <c r="W39" s="1299"/>
      <c r="X39" s="1260"/>
      <c r="Y39" s="1260"/>
      <c r="Z39" s="1260"/>
      <c r="AA39" s="1260"/>
      <c r="AB39" s="1260"/>
      <c r="AC39" s="1260"/>
      <c r="AD39" s="1260"/>
      <c r="AE39" s="1260"/>
      <c r="AF39" s="1260"/>
      <c r="AG39" s="1260"/>
      <c r="AH39" s="1260"/>
      <c r="AI39" s="1260"/>
      <c r="AJ39" s="1260"/>
      <c r="AK39" s="1260"/>
      <c r="AL39" s="1260"/>
      <c r="AM39" s="1260"/>
      <c r="AN39" s="1260"/>
      <c r="AO39" s="1260"/>
      <c r="AP39" s="1260"/>
      <c r="AQ39" s="1260"/>
      <c r="AR39" s="1284">
        <v>0</v>
      </c>
    </row>
    <row s="1854" customFormat="1" customHeight="1" ht="17.25">
      <c r="A40" s="322"/>
      <c r="C40" s="321"/>
      <c r="D40" s="2137"/>
      <c r="E40" s="2145"/>
      <c r="F40" s="2147"/>
      <c r="G40" s="2145"/>
      <c r="H40" s="2150"/>
      <c r="I40" s="2152"/>
      <c r="J40" s="2155"/>
      <c r="K40" s="2139"/>
      <c r="L40" s="1298"/>
      <c r="M40" s="1298"/>
      <c r="N40" s="1298"/>
      <c r="O40" s="1298"/>
      <c r="P40" s="1298"/>
      <c r="Q40" s="1298"/>
      <c r="R40" s="1298"/>
      <c r="S40" s="330"/>
      <c r="T40" s="330"/>
      <c r="U40" s="330"/>
      <c r="V40" s="330"/>
      <c r="W40" s="1299"/>
      <c r="X40" s="1260"/>
      <c r="Y40" s="1260"/>
      <c r="Z40" s="1260"/>
      <c r="AA40" s="1260"/>
      <c r="AB40" s="1260"/>
      <c r="AC40" s="1260"/>
      <c r="AD40" s="1260"/>
      <c r="AE40" s="1260"/>
      <c r="AF40" s="1260"/>
      <c r="AG40" s="1260"/>
      <c r="AH40" s="1260"/>
      <c r="AI40" s="1260"/>
      <c r="AJ40" s="1260"/>
      <c r="AK40" s="1260"/>
      <c r="AL40" s="1260"/>
      <c r="AM40" s="1260"/>
      <c r="AN40" s="1260"/>
      <c r="AO40" s="1260"/>
      <c r="AP40" s="1260"/>
      <c r="AQ40" s="1260"/>
      <c r="AR40" s="1284">
        <v>0</v>
      </c>
    </row>
    <row s="1854" customFormat="1" customHeight="1" ht="17.25">
      <c r="A41" s="322"/>
      <c r="C41" s="321"/>
      <c r="D41" s="2137"/>
      <c r="E41" s="2145"/>
      <c r="F41" s="2148"/>
      <c r="G41" s="2145"/>
      <c r="H41" s="1300"/>
      <c r="I41" s="1301"/>
      <c r="J41" s="1301"/>
      <c r="K41" s="1301"/>
      <c r="L41" s="1301"/>
      <c r="M41" s="1301"/>
      <c r="N41" s="1301"/>
      <c r="O41" s="1301"/>
      <c r="P41" s="1301"/>
      <c r="Q41" s="1301"/>
      <c r="R41" s="1301"/>
      <c r="S41" s="1302"/>
      <c r="T41" s="1302"/>
      <c r="U41" s="1302"/>
      <c r="V41" s="1302"/>
      <c r="W41" s="1303"/>
      <c r="X41" s="1260"/>
      <c r="Y41" s="1260"/>
      <c r="Z41" s="1260"/>
      <c r="AA41" s="1260"/>
      <c r="AB41" s="1260"/>
      <c r="AC41" s="1260"/>
      <c r="AD41" s="1260"/>
      <c r="AE41" s="1260"/>
      <c r="AF41" s="1260"/>
      <c r="AG41" s="1260"/>
      <c r="AH41" s="1260"/>
      <c r="AI41" s="1260"/>
      <c r="AJ41" s="1260"/>
      <c r="AK41" s="1260"/>
      <c r="AL41" s="1260"/>
      <c r="AM41" s="1260"/>
      <c r="AN41" s="1260"/>
      <c r="AO41" s="1260"/>
      <c r="AP41" s="1260"/>
      <c r="AQ41" s="1260"/>
      <c r="AR41" s="1284">
        <v>0</v>
      </c>
    </row>
    <row s="1854" customFormat="1" customHeight="1" ht="17.25">
      <c r="A42" s="322"/>
      <c r="C42" s="210"/>
      <c r="D42" s="2136">
        <v>5</v>
      </c>
      <c r="E42" s="2144" t="s">
        <v>197</v>
      </c>
      <c r="F42" s="2146" t="s">
        <v>19</v>
      </c>
      <c r="G42" s="2144"/>
      <c r="H42" s="2149"/>
      <c r="I42" s="2151"/>
      <c r="J42" s="2153"/>
      <c r="K42" s="2138"/>
      <c r="L42" s="2138"/>
      <c r="M42" s="2138"/>
      <c r="N42" s="2140"/>
      <c r="O42" s="2138"/>
      <c r="P42" s="2138"/>
      <c r="Q42" s="2138"/>
      <c r="R42" s="2143"/>
      <c r="S42" s="2138"/>
      <c r="T42" s="1421"/>
      <c r="U42" s="1421"/>
      <c r="V42" s="1420"/>
      <c r="W42" s="1297"/>
      <c r="X42" s="1268"/>
      <c r="Y42" s="1268"/>
      <c r="Z42" s="1268"/>
      <c r="AA42" s="1268"/>
      <c r="AB42" s="1268"/>
      <c r="AC42" s="1268" t="s">
        <v>198</v>
      </c>
      <c r="AD42" s="1268" t="s">
        <v>199</v>
      </c>
      <c r="AE42" s="1268" t="s">
        <v>200</v>
      </c>
      <c r="AF42" s="1268" t="s">
        <v>201</v>
      </c>
      <c r="AG42" s="1268" t="s">
        <v>202</v>
      </c>
      <c r="AH42" s="1268" t="str">
        <f>IF($E$42=0,"",$E$42)</f>
        <v>Тарифы на услуги по передаче тепловой энергии</v>
      </c>
      <c r="AI42" s="1268" t="str">
        <f>IF($G$42=0,"",$G$42)</f>
        <v/>
      </c>
      <c r="AJ42" s="1268" t="str">
        <f>IF($J$42=0,"",$J$42)</f>
        <v/>
      </c>
      <c r="AK42" s="1268" t="str">
        <f>IF($K$42="нет","без дифференциации",IF($N$42=0,"",$N$42))</f>
        <v/>
      </c>
      <c r="AL42" s="1268" t="str">
        <f>IF($O$42="нет","без дифференциации",IF($R$42=0,"",$R$42))</f>
        <v/>
      </c>
      <c r="AM42" s="1268" t="str">
        <f>IF($S$42="нет","без дифференциации",IF($V$42=0,"",$V$42))</f>
        <v/>
      </c>
      <c r="AN42" s="1773">
        <f>$I$42</f>
        <v>0</v>
      </c>
      <c r="AO42" s="1268" t="str">
        <f>$I$42&amp;"."&amp;$M$42</f>
        <v>.</v>
      </c>
      <c r="AP42" s="1260" t="str">
        <f>$I$42&amp;"."&amp;$M$42&amp;"."&amp;$Q$42</f>
        <v>..</v>
      </c>
      <c r="AQ42" s="1260" t="str">
        <f>$I$42&amp;"."&amp;$M$42&amp;"."&amp;$Q$42&amp;"."&amp;$U$42</f>
        <v>...</v>
      </c>
      <c r="AR42" s="1284">
        <v>0</v>
      </c>
    </row>
    <row s="1854" customFormat="1" customHeight="1" ht="17.25">
      <c r="A43" s="322"/>
      <c r="C43" s="321"/>
      <c r="D43" s="2136"/>
      <c r="E43" s="2144"/>
      <c r="F43" s="2147"/>
      <c r="G43" s="2144"/>
      <c r="H43" s="2150"/>
      <c r="I43" s="2152"/>
      <c r="J43" s="2154"/>
      <c r="K43" s="2139"/>
      <c r="L43" s="2139"/>
      <c r="M43" s="2139"/>
      <c r="N43" s="2141"/>
      <c r="O43" s="2139"/>
      <c r="P43" s="2139"/>
      <c r="Q43" s="2139"/>
      <c r="R43" s="2142"/>
      <c r="S43" s="2139"/>
      <c r="T43" s="1298"/>
      <c r="U43" s="1298"/>
      <c r="V43" s="1298"/>
      <c r="W43" s="1299"/>
      <c r="X43" s="1260"/>
      <c r="Y43" s="1260"/>
      <c r="Z43" s="1260"/>
      <c r="AA43" s="1260"/>
      <c r="AB43" s="1260"/>
      <c r="AC43" s="1260"/>
      <c r="AD43" s="1260"/>
      <c r="AE43" s="1260"/>
      <c r="AF43" s="1260"/>
      <c r="AG43" s="1260"/>
      <c r="AH43" s="1260"/>
      <c r="AI43" s="1260"/>
      <c r="AJ43" s="1260"/>
      <c r="AK43" s="1260"/>
      <c r="AL43" s="1260"/>
      <c r="AM43" s="1260"/>
      <c r="AN43" s="1260"/>
      <c r="AO43" s="1260"/>
      <c r="AP43" s="1260"/>
      <c r="AQ43" s="1260"/>
      <c r="AR43" s="1284">
        <v>0</v>
      </c>
    </row>
    <row s="1854" customFormat="1" customHeight="1" ht="17.25">
      <c r="A44" s="322"/>
      <c r="C44" s="321"/>
      <c r="D44" s="2137"/>
      <c r="E44" s="2145"/>
      <c r="F44" s="2147"/>
      <c r="G44" s="2145"/>
      <c r="H44" s="2150"/>
      <c r="I44" s="2152"/>
      <c r="J44" s="2155"/>
      <c r="K44" s="2139"/>
      <c r="L44" s="2139"/>
      <c r="M44" s="2139"/>
      <c r="N44" s="2142"/>
      <c r="O44" s="2139"/>
      <c r="P44" s="1419"/>
      <c r="Q44" s="1298"/>
      <c r="R44" s="1298"/>
      <c r="S44" s="330"/>
      <c r="T44" s="330"/>
      <c r="U44" s="330"/>
      <c r="V44" s="330"/>
      <c r="W44" s="1299"/>
      <c r="X44" s="1260"/>
      <c r="Y44" s="1260"/>
      <c r="Z44" s="1260"/>
      <c r="AA44" s="1260"/>
      <c r="AB44" s="1260"/>
      <c r="AC44" s="1260"/>
      <c r="AD44" s="1260"/>
      <c r="AE44" s="1260"/>
      <c r="AF44" s="1260"/>
      <c r="AG44" s="1260"/>
      <c r="AH44" s="1260"/>
      <c r="AI44" s="1260"/>
      <c r="AJ44" s="1260"/>
      <c r="AK44" s="1260"/>
      <c r="AL44" s="1260"/>
      <c r="AM44" s="1260"/>
      <c r="AN44" s="1260"/>
      <c r="AO44" s="1260"/>
      <c r="AP44" s="1260"/>
      <c r="AQ44" s="1260"/>
      <c r="AR44" s="1284">
        <v>0</v>
      </c>
    </row>
    <row s="1854" customFormat="1" customHeight="1" ht="17.25">
      <c r="A45" s="322"/>
      <c r="C45" s="321"/>
      <c r="D45" s="2137"/>
      <c r="E45" s="2145"/>
      <c r="F45" s="2147"/>
      <c r="G45" s="2145"/>
      <c r="H45" s="2150"/>
      <c r="I45" s="2152"/>
      <c r="J45" s="2155"/>
      <c r="K45" s="2139"/>
      <c r="L45" s="1298"/>
      <c r="M45" s="1298"/>
      <c r="N45" s="1298"/>
      <c r="O45" s="1298"/>
      <c r="P45" s="1298"/>
      <c r="Q45" s="1298"/>
      <c r="R45" s="1298"/>
      <c r="S45" s="330"/>
      <c r="T45" s="330"/>
      <c r="U45" s="330"/>
      <c r="V45" s="330"/>
      <c r="W45" s="1299"/>
      <c r="X45" s="1260"/>
      <c r="Y45" s="1260"/>
      <c r="Z45" s="1260"/>
      <c r="AA45" s="1260"/>
      <c r="AB45" s="1260"/>
      <c r="AC45" s="1260"/>
      <c r="AD45" s="1260"/>
      <c r="AE45" s="1260"/>
      <c r="AF45" s="1260"/>
      <c r="AG45" s="1260"/>
      <c r="AH45" s="1260"/>
      <c r="AI45" s="1260"/>
      <c r="AJ45" s="1260"/>
      <c r="AK45" s="1260"/>
      <c r="AL45" s="1260"/>
      <c r="AM45" s="1260"/>
      <c r="AN45" s="1260"/>
      <c r="AO45" s="1260"/>
      <c r="AP45" s="1260"/>
      <c r="AQ45" s="1260"/>
      <c r="AR45" s="1284">
        <v>0</v>
      </c>
    </row>
    <row s="1854" customFormat="1" customHeight="1" ht="17.25">
      <c r="A46" s="322"/>
      <c r="C46" s="321"/>
      <c r="D46" s="2137"/>
      <c r="E46" s="2145"/>
      <c r="F46" s="2148"/>
      <c r="G46" s="2145"/>
      <c r="H46" s="1300"/>
      <c r="I46" s="1301"/>
      <c r="J46" s="1301"/>
      <c r="K46" s="1301"/>
      <c r="L46" s="1301"/>
      <c r="M46" s="1301"/>
      <c r="N46" s="1301"/>
      <c r="O46" s="1301"/>
      <c r="P46" s="1301"/>
      <c r="Q46" s="1301"/>
      <c r="R46" s="1301"/>
      <c r="S46" s="1302"/>
      <c r="T46" s="1302"/>
      <c r="U46" s="1302"/>
      <c r="V46" s="1302"/>
      <c r="W46" s="1303"/>
      <c r="X46" s="1260"/>
      <c r="Y46" s="1260"/>
      <c r="Z46" s="1260"/>
      <c r="AA46" s="1260"/>
      <c r="AB46" s="1260"/>
      <c r="AC46" s="1260"/>
      <c r="AD46" s="1260"/>
      <c r="AE46" s="1260"/>
      <c r="AF46" s="1260"/>
      <c r="AG46" s="1260"/>
      <c r="AH46" s="1260"/>
      <c r="AI46" s="1260"/>
      <c r="AJ46" s="1260"/>
      <c r="AK46" s="1260"/>
      <c r="AL46" s="1260"/>
      <c r="AM46" s="1260"/>
      <c r="AN46" s="1260"/>
      <c r="AO46" s="1260"/>
      <c r="AP46" s="1260"/>
      <c r="AQ46" s="1260"/>
      <c r="AR46" s="1284">
        <v>0</v>
      </c>
    </row>
    <row s="1854" customFormat="1" customHeight="1" ht="17.25">
      <c r="A47" s="322"/>
      <c r="C47" s="210"/>
      <c r="D47" s="2136">
        <v>6</v>
      </c>
      <c r="E47" s="2144" t="s">
        <v>203</v>
      </c>
      <c r="F47" s="2146" t="s">
        <v>19</v>
      </c>
      <c r="G47" s="2144"/>
      <c r="H47" s="2149"/>
      <c r="I47" s="2151"/>
      <c r="J47" s="2153"/>
      <c r="K47" s="2138"/>
      <c r="L47" s="2138"/>
      <c r="M47" s="2138"/>
      <c r="N47" s="2140"/>
      <c r="O47" s="2138"/>
      <c r="P47" s="2138"/>
      <c r="Q47" s="2138"/>
      <c r="R47" s="2143"/>
      <c r="S47" s="2138"/>
      <c r="T47" s="1421"/>
      <c r="U47" s="1421"/>
      <c r="V47" s="1420"/>
      <c r="W47" s="1297"/>
      <c r="X47" s="1268"/>
      <c r="Y47" s="1268"/>
      <c r="Z47" s="1268"/>
      <c r="AA47" s="1268"/>
      <c r="AB47" s="1268"/>
      <c r="AC47" s="1268" t="s">
        <v>204</v>
      </c>
      <c r="AD47" s="1268" t="s">
        <v>205</v>
      </c>
      <c r="AE47" s="1268" t="s">
        <v>206</v>
      </c>
      <c r="AF47" s="1268" t="s">
        <v>207</v>
      </c>
      <c r="AG47" s="1268" t="s">
        <v>208</v>
      </c>
      <c r="AH47" s="1268" t="str">
        <f>IF($E$47=0,"",$E$47)</f>
        <v>Тарифы на услуги по передаче теплоносителя</v>
      </c>
      <c r="AI47" s="1268" t="str">
        <f>IF($G$47=0,"",$G$47)</f>
        <v/>
      </c>
      <c r="AJ47" s="1268" t="str">
        <f>IF($J$47=0,"",$J$47)</f>
        <v/>
      </c>
      <c r="AK47" s="1268" t="str">
        <f>IF($K$47="нет","без дифференциации",IF($N$47=0,"",$N$47))</f>
        <v/>
      </c>
      <c r="AL47" s="1268" t="str">
        <f>IF($O$47="нет","без дифференциации",IF($R$47=0,"",$R$47))</f>
        <v/>
      </c>
      <c r="AM47" s="1268" t="str">
        <f>IF($S$47="нет","без дифференциации",IF($V$47=0,"",$V$47))</f>
        <v/>
      </c>
      <c r="AN47" s="1773">
        <f>$I$47</f>
        <v>0</v>
      </c>
      <c r="AO47" s="1268" t="str">
        <f>$I$47&amp;"."&amp;$M$47</f>
        <v>.</v>
      </c>
      <c r="AP47" s="1260" t="str">
        <f>$I$47&amp;"."&amp;$M$47&amp;"."&amp;$Q$47</f>
        <v>..</v>
      </c>
      <c r="AQ47" s="1260" t="str">
        <f>$I$47&amp;"."&amp;$M$47&amp;"."&amp;$Q$47&amp;"."&amp;$U$47</f>
        <v>...</v>
      </c>
      <c r="AR47" s="1284">
        <v>0</v>
      </c>
    </row>
    <row s="1854" customFormat="1" customHeight="1" ht="17.25">
      <c r="A48" s="322"/>
      <c r="C48" s="321"/>
      <c r="D48" s="2136"/>
      <c r="E48" s="2144"/>
      <c r="F48" s="2147"/>
      <c r="G48" s="2144"/>
      <c r="H48" s="2150"/>
      <c r="I48" s="2152"/>
      <c r="J48" s="2154"/>
      <c r="K48" s="2139"/>
      <c r="L48" s="2139"/>
      <c r="M48" s="2139"/>
      <c r="N48" s="2141"/>
      <c r="O48" s="2139"/>
      <c r="P48" s="2139"/>
      <c r="Q48" s="2139"/>
      <c r="R48" s="2142"/>
      <c r="S48" s="2139"/>
      <c r="T48" s="1298"/>
      <c r="U48" s="1298"/>
      <c r="V48" s="1298"/>
      <c r="W48" s="1299"/>
      <c r="X48" s="1260"/>
      <c r="Y48" s="1260"/>
      <c r="Z48" s="1260"/>
      <c r="AA48" s="1260"/>
      <c r="AB48" s="1260"/>
      <c r="AC48" s="1260"/>
      <c r="AD48" s="1260"/>
      <c r="AE48" s="1260"/>
      <c r="AF48" s="1260"/>
      <c r="AG48" s="1260"/>
      <c r="AH48" s="1260"/>
      <c r="AI48" s="1260"/>
      <c r="AJ48" s="1260"/>
      <c r="AK48" s="1260"/>
      <c r="AL48" s="1260"/>
      <c r="AM48" s="1260"/>
      <c r="AN48" s="1260"/>
      <c r="AO48" s="1260"/>
      <c r="AP48" s="1260"/>
      <c r="AQ48" s="1260"/>
      <c r="AR48" s="1284">
        <v>0</v>
      </c>
    </row>
    <row s="1854" customFormat="1" customHeight="1" ht="17.25">
      <c r="A49" s="322"/>
      <c r="C49" s="321"/>
      <c r="D49" s="2137"/>
      <c r="E49" s="2145"/>
      <c r="F49" s="2147"/>
      <c r="G49" s="2145"/>
      <c r="H49" s="2150"/>
      <c r="I49" s="2152"/>
      <c r="J49" s="2155"/>
      <c r="K49" s="2139"/>
      <c r="L49" s="2139"/>
      <c r="M49" s="2139"/>
      <c r="N49" s="2142"/>
      <c r="O49" s="2139"/>
      <c r="P49" s="1419"/>
      <c r="Q49" s="1298"/>
      <c r="R49" s="1298"/>
      <c r="S49" s="330"/>
      <c r="T49" s="330"/>
      <c r="U49" s="330"/>
      <c r="V49" s="330"/>
      <c r="W49" s="1299"/>
      <c r="X49" s="1260"/>
      <c r="Y49" s="1260"/>
      <c r="Z49" s="1260"/>
      <c r="AA49" s="1260"/>
      <c r="AB49" s="1260"/>
      <c r="AC49" s="1260"/>
      <c r="AD49" s="1260"/>
      <c r="AE49" s="1260"/>
      <c r="AF49" s="1260"/>
      <c r="AG49" s="1260"/>
      <c r="AH49" s="1260"/>
      <c r="AI49" s="1260"/>
      <c r="AJ49" s="1260"/>
      <c r="AK49" s="1260"/>
      <c r="AL49" s="1260"/>
      <c r="AM49" s="1260"/>
      <c r="AN49" s="1260"/>
      <c r="AO49" s="1260"/>
      <c r="AP49" s="1260"/>
      <c r="AQ49" s="1260"/>
      <c r="AR49" s="1284">
        <v>0</v>
      </c>
    </row>
    <row s="1854" customFormat="1" customHeight="1" ht="17.25">
      <c r="A50" s="322"/>
      <c r="C50" s="210"/>
      <c r="D50" s="2137"/>
      <c r="E50" s="2145"/>
      <c r="F50" s="2147"/>
      <c r="G50" s="2145"/>
      <c r="H50" s="2150"/>
      <c r="I50" s="2152"/>
      <c r="J50" s="2155"/>
      <c r="K50" s="2139"/>
      <c r="L50" s="1298"/>
      <c r="M50" s="1298"/>
      <c r="N50" s="1298"/>
      <c r="O50" s="1298"/>
      <c r="P50" s="1298"/>
      <c r="Q50" s="1298"/>
      <c r="R50" s="1298"/>
      <c r="S50" s="330"/>
      <c r="T50" s="330"/>
      <c r="U50" s="330"/>
      <c r="V50" s="330"/>
      <c r="W50" s="1299"/>
      <c r="Y50" s="1268"/>
      <c r="Z50" s="1268"/>
      <c r="AA50" s="1268"/>
      <c r="AB50" s="1268"/>
      <c r="AC50" s="1268"/>
      <c r="AD50" s="1268"/>
      <c r="AE50" s="1268"/>
      <c r="AF50" s="1268"/>
      <c r="AG50" s="1268"/>
      <c r="AH50" s="1268"/>
      <c r="AI50" s="1268"/>
      <c r="AJ50" s="1268"/>
      <c r="AK50" s="1268"/>
      <c r="AL50" s="1268"/>
      <c r="AM50" s="1268"/>
      <c r="AN50" s="1268"/>
      <c r="AO50" s="1268"/>
      <c r="AP50" s="1268"/>
      <c r="AQ50" s="1268"/>
      <c r="AR50" s="1327">
        <v>0</v>
      </c>
    </row>
    <row s="1854" customFormat="1" customHeight="1" ht="17.25">
      <c r="A51" s="322"/>
      <c r="C51" s="321"/>
      <c r="D51" s="2137"/>
      <c r="E51" s="2145"/>
      <c r="F51" s="2148"/>
      <c r="G51" s="2145"/>
      <c r="H51" s="1300"/>
      <c r="I51" s="1301"/>
      <c r="J51" s="1301"/>
      <c r="K51" s="1301"/>
      <c r="L51" s="1301"/>
      <c r="M51" s="1301"/>
      <c r="N51" s="1301"/>
      <c r="O51" s="1301"/>
      <c r="P51" s="1301"/>
      <c r="Q51" s="1301"/>
      <c r="R51" s="1301"/>
      <c r="S51" s="1302"/>
      <c r="T51" s="1302"/>
      <c r="U51" s="1302"/>
      <c r="V51" s="1302"/>
      <c r="W51" s="1303"/>
      <c r="X51" s="1260"/>
      <c r="Y51" s="1260"/>
      <c r="Z51" s="1260"/>
      <c r="AA51" s="1260"/>
      <c r="AB51" s="1260"/>
      <c r="AC51" s="1260"/>
      <c r="AD51" s="1260"/>
      <c r="AE51" s="1260"/>
      <c r="AF51" s="1260"/>
      <c r="AG51" s="1260"/>
      <c r="AH51" s="1260"/>
      <c r="AI51" s="1260"/>
      <c r="AJ51" s="1260"/>
      <c r="AK51" s="1260"/>
      <c r="AL51" s="1260"/>
      <c r="AM51" s="1260"/>
      <c r="AN51" s="1260"/>
      <c r="AO51" s="1260"/>
      <c r="AP51" s="1260"/>
      <c r="AQ51" s="1260"/>
      <c r="AR51" s="1284">
        <v>0</v>
      </c>
    </row>
    <row s="1854" customFormat="1" customHeight="1" ht="17.25">
      <c r="A52" s="322"/>
      <c r="C52" s="210"/>
      <c r="D52" s="2167">
        <v>7</v>
      </c>
      <c r="E52" s="2170" t="s">
        <v>209</v>
      </c>
      <c r="F52" s="2146" t="s">
        <v>19</v>
      </c>
      <c r="G52" s="2170"/>
      <c r="H52" s="2149"/>
      <c r="I52" s="2151"/>
      <c r="J52" s="2153"/>
      <c r="K52" s="2138"/>
      <c r="L52" s="2138"/>
      <c r="M52" s="2138"/>
      <c r="N52" s="2140"/>
      <c r="O52" s="2138"/>
      <c r="P52" s="2138"/>
      <c r="Q52" s="2138"/>
      <c r="R52" s="2143"/>
      <c r="S52" s="2138"/>
      <c r="T52" s="1421"/>
      <c r="U52" s="1421"/>
      <c r="V52" s="1420"/>
      <c r="W52" s="1297"/>
      <c r="X52" s="1268"/>
      <c r="Y52" s="1268"/>
      <c r="Z52" s="1268"/>
      <c r="AA52" s="1268"/>
      <c r="AB52" s="1268"/>
      <c r="AC52" s="1268" t="s">
        <v>210</v>
      </c>
      <c r="AD52" s="1268" t="s">
        <v>211</v>
      </c>
      <c r="AE52" s="1268" t="s">
        <v>212</v>
      </c>
      <c r="AF52" s="1268" t="s">
        <v>213</v>
      </c>
      <c r="AG52" s="1268" t="s">
        <v>214</v>
      </c>
      <c r="AH52" s="1268" t="str">
        <f>IF($E$52=0,"",$E$52)</f>
        <v>Плата за услуги по поддержанию резервной тепловой мощности при отсутствии потребления тепловой энергии</v>
      </c>
      <c r="AI52" s="1268" t="str">
        <f>IF($G$52=0,"",$G$52)</f>
        <v/>
      </c>
      <c r="AJ52" s="1268" t="str">
        <f>IF($J$52=0,"",$J$52)</f>
        <v/>
      </c>
      <c r="AK52" s="1268" t="str">
        <f>IF($K$52="нет","без дифференциации",IF($N$52=0,"",$N$52))</f>
        <v/>
      </c>
      <c r="AL52" s="1268" t="str">
        <f>IF($O$52="нет","без дифференциации",IF($R$52=0,"",$R$52))</f>
        <v/>
      </c>
      <c r="AM52" s="1268" t="str">
        <f>IF($S$52="нет","без дифференциации",IF($V$52=0,"",$V$52))</f>
        <v/>
      </c>
      <c r="AN52" s="1773">
        <f>$I$52</f>
        <v>0</v>
      </c>
      <c r="AO52" s="1268" t="str">
        <f>$I$52&amp;"."&amp;$M$52</f>
        <v>.</v>
      </c>
      <c r="AP52" s="1260" t="str">
        <f>$I$52&amp;"."&amp;$M$52&amp;"."&amp;$Q$52</f>
        <v>..</v>
      </c>
      <c r="AQ52" s="1260" t="str">
        <f>$I$52&amp;"."&amp;$M$52&amp;"."&amp;$Q$52&amp;"."&amp;$U$52</f>
        <v>...</v>
      </c>
      <c r="AR52" s="1309">
        <v>0</v>
      </c>
    </row>
    <row s="1854" customFormat="1" customHeight="1" ht="17.25">
      <c r="A53" s="322"/>
      <c r="C53" s="321"/>
      <c r="D53" s="2168"/>
      <c r="E53" s="2171"/>
      <c r="F53" s="2147"/>
      <c r="G53" s="2171"/>
      <c r="H53" s="2150"/>
      <c r="I53" s="2152"/>
      <c r="J53" s="2154"/>
      <c r="K53" s="2139"/>
      <c r="L53" s="2139"/>
      <c r="M53" s="2139"/>
      <c r="N53" s="2141"/>
      <c r="O53" s="2139"/>
      <c r="P53" s="2139"/>
      <c r="Q53" s="2139"/>
      <c r="R53" s="2142"/>
      <c r="S53" s="2139"/>
      <c r="T53" s="1298"/>
      <c r="U53" s="1298"/>
      <c r="V53" s="1298"/>
      <c r="W53" s="1299"/>
      <c r="X53" s="1260"/>
      <c r="Y53" s="1260"/>
      <c r="Z53" s="1260"/>
      <c r="AA53" s="1260"/>
      <c r="AB53" s="1260"/>
      <c r="AC53" s="1260"/>
      <c r="AD53" s="1260"/>
      <c r="AE53" s="1260"/>
      <c r="AF53" s="1260"/>
      <c r="AG53" s="1260"/>
      <c r="AH53" s="1260"/>
      <c r="AI53" s="1260"/>
      <c r="AJ53" s="1260"/>
      <c r="AK53" s="1260"/>
      <c r="AL53" s="1260"/>
      <c r="AM53" s="1260"/>
      <c r="AN53" s="1260"/>
      <c r="AO53" s="1260"/>
      <c r="AP53" s="1260"/>
      <c r="AQ53" s="1260"/>
      <c r="AR53" s="1309">
        <v>0</v>
      </c>
    </row>
    <row s="1854" customFormat="1" customHeight="1" ht="17.25">
      <c r="A54" s="322"/>
      <c r="C54" s="321"/>
      <c r="D54" s="2168"/>
      <c r="E54" s="2171"/>
      <c r="F54" s="2147"/>
      <c r="G54" s="2171"/>
      <c r="H54" s="2150"/>
      <c r="I54" s="2152"/>
      <c r="J54" s="2155"/>
      <c r="K54" s="2139"/>
      <c r="L54" s="2139"/>
      <c r="M54" s="2139"/>
      <c r="N54" s="2142"/>
      <c r="O54" s="2139"/>
      <c r="P54" s="1419"/>
      <c r="Q54" s="1298"/>
      <c r="R54" s="1298"/>
      <c r="S54" s="330"/>
      <c r="T54" s="330"/>
      <c r="U54" s="330"/>
      <c r="V54" s="330"/>
      <c r="W54" s="1299"/>
      <c r="X54" s="1260"/>
      <c r="Y54" s="1260"/>
      <c r="Z54" s="1260"/>
      <c r="AA54" s="1260"/>
      <c r="AB54" s="1260"/>
      <c r="AC54" s="1260"/>
      <c r="AD54" s="1260"/>
      <c r="AE54" s="1260"/>
      <c r="AF54" s="1260"/>
      <c r="AG54" s="1260"/>
      <c r="AH54" s="1260"/>
      <c r="AI54" s="1260"/>
      <c r="AJ54" s="1260"/>
      <c r="AK54" s="1260"/>
      <c r="AL54" s="1260"/>
      <c r="AM54" s="1260"/>
      <c r="AN54" s="1260"/>
      <c r="AO54" s="1260"/>
      <c r="AP54" s="1260"/>
      <c r="AQ54" s="1260"/>
      <c r="AR54" s="1309">
        <v>0</v>
      </c>
    </row>
    <row s="1854" customFormat="1" customHeight="1" ht="17.25">
      <c r="A55" s="322"/>
      <c r="C55" s="210"/>
      <c r="D55" s="2168"/>
      <c r="E55" s="2171"/>
      <c r="F55" s="2147"/>
      <c r="G55" s="2171"/>
      <c r="H55" s="2150"/>
      <c r="I55" s="2152"/>
      <c r="J55" s="2155"/>
      <c r="K55" s="2139"/>
      <c r="L55" s="1298"/>
      <c r="M55" s="1298"/>
      <c r="N55" s="1298"/>
      <c r="O55" s="1298"/>
      <c r="P55" s="1298"/>
      <c r="Q55" s="1298"/>
      <c r="R55" s="1298"/>
      <c r="S55" s="330"/>
      <c r="T55" s="330"/>
      <c r="U55" s="330"/>
      <c r="V55" s="330"/>
      <c r="W55" s="1299"/>
      <c r="Y55" s="1268"/>
      <c r="Z55" s="1268"/>
      <c r="AA55" s="1268"/>
      <c r="AB55" s="1268"/>
      <c r="AC55" s="1268"/>
      <c r="AD55" s="1268"/>
      <c r="AE55" s="1268"/>
      <c r="AF55" s="1268"/>
      <c r="AG55" s="1268"/>
      <c r="AH55" s="1268"/>
      <c r="AI55" s="1268"/>
      <c r="AJ55" s="1268"/>
      <c r="AK55" s="1268"/>
      <c r="AL55" s="1268"/>
      <c r="AM55" s="1268"/>
      <c r="AN55" s="1268"/>
      <c r="AO55" s="1268"/>
      <c r="AP55" s="1268"/>
      <c r="AQ55" s="1268"/>
      <c r="AR55" s="1327">
        <v>0</v>
      </c>
    </row>
    <row s="1854" customFormat="1" customHeight="1" ht="17.25">
      <c r="A56" s="322"/>
      <c r="C56" s="321"/>
      <c r="D56" s="2169"/>
      <c r="E56" s="2172"/>
      <c r="F56" s="2148"/>
      <c r="G56" s="2172"/>
      <c r="H56" s="1300"/>
      <c r="I56" s="1301"/>
      <c r="J56" s="1301"/>
      <c r="K56" s="1301"/>
      <c r="L56" s="1301"/>
      <c r="M56" s="1301"/>
      <c r="N56" s="1301"/>
      <c r="O56" s="1301"/>
      <c r="P56" s="1301"/>
      <c r="Q56" s="1301"/>
      <c r="R56" s="1301"/>
      <c r="S56" s="1302"/>
      <c r="T56" s="1302"/>
      <c r="U56" s="1302"/>
      <c r="V56" s="1302"/>
      <c r="W56" s="1303"/>
      <c r="X56" s="1260"/>
      <c r="Y56" s="1260"/>
      <c r="Z56" s="1260"/>
      <c r="AA56" s="1260"/>
      <c r="AB56" s="1260"/>
      <c r="AC56" s="1260"/>
      <c r="AD56" s="1260"/>
      <c r="AE56" s="1260"/>
      <c r="AF56" s="1260"/>
      <c r="AG56" s="1260"/>
      <c r="AH56" s="1260"/>
      <c r="AI56" s="1260"/>
      <c r="AJ56" s="1260"/>
      <c r="AK56" s="1260"/>
      <c r="AL56" s="1260"/>
      <c r="AM56" s="1260"/>
      <c r="AN56" s="1260"/>
      <c r="AO56" s="1260"/>
      <c r="AP56" s="1260"/>
      <c r="AQ56" s="1260"/>
      <c r="AR56" s="1309">
        <v>0</v>
      </c>
    </row>
    <row s="1854" customFormat="1" customHeight="1" ht="17.25">
      <c r="A57" s="322"/>
      <c r="C57" s="210"/>
      <c r="D57" s="2136">
        <v>8</v>
      </c>
      <c r="E57" s="2144" t="s">
        <v>215</v>
      </c>
      <c r="F57" s="2146" t="s">
        <v>19</v>
      </c>
      <c r="G57" s="2144"/>
      <c r="H57" s="2149"/>
      <c r="I57" s="2151"/>
      <c r="J57" s="2153"/>
      <c r="K57" s="2138"/>
      <c r="L57" s="2138"/>
      <c r="M57" s="2138"/>
      <c r="N57" s="2140"/>
      <c r="O57" s="2138"/>
      <c r="P57" s="2138"/>
      <c r="Q57" s="2138"/>
      <c r="R57" s="2143"/>
      <c r="S57" s="2138"/>
      <c r="T57" s="1471"/>
      <c r="U57" s="1471"/>
      <c r="V57" s="1473"/>
      <c r="W57" s="1297"/>
      <c r="X57" s="1268"/>
      <c r="Y57" s="1268"/>
      <c r="Z57" s="1268"/>
      <c r="AA57" s="1268"/>
      <c r="AB57" s="1268"/>
      <c r="AC57" s="1268" t="s">
        <v>216</v>
      </c>
      <c r="AD57" s="1268" t="s">
        <v>217</v>
      </c>
      <c r="AE57" s="1268" t="s">
        <v>218</v>
      </c>
      <c r="AF57" s="1268" t="s">
        <v>219</v>
      </c>
      <c r="AG57" s="1268" t="s">
        <v>220</v>
      </c>
      <c r="AH57" s="1268" t="str">
        <f>IF($E$57=0,"",$E$57)</f>
        <v>Плата за подключение (технологическое присоединение) к системе теплоснабжения</v>
      </c>
      <c r="AI57" s="1268" t="str">
        <f>IF($G$57=0,"",$G$57)</f>
        <v/>
      </c>
      <c r="AJ57" s="1268" t="str">
        <f>IF($J$57=0,"",$J$57)</f>
        <v/>
      </c>
      <c r="AK57" s="1268" t="str">
        <f>IF($K$57="нет","без дифференциации",IF($N$57=0,"",$N$57))</f>
        <v/>
      </c>
      <c r="AL57" s="1268" t="str">
        <f>IF($O$57="нет","без дифференциации",IF($R$57=0,"",$R$57))</f>
        <v/>
      </c>
      <c r="AM57" s="1268" t="str">
        <f>IF($S$57="нет","без дифференциации",IF($V$57=0,"",$V$57))</f>
        <v/>
      </c>
      <c r="AN57" s="1773">
        <f>$I$57</f>
        <v>0</v>
      </c>
      <c r="AO57" s="1268" t="str">
        <f>$I$57&amp;"."&amp;$M$57</f>
        <v>.</v>
      </c>
      <c r="AP57" s="1260" t="str">
        <f>$I$57&amp;"."&amp;$M$57&amp;"."&amp;$Q$57</f>
        <v>..</v>
      </c>
      <c r="AQ57" s="1260" t="str">
        <f>$I$57&amp;"."&amp;$M$57&amp;"."&amp;$Q$57&amp;"."&amp;$U$57</f>
        <v>...</v>
      </c>
      <c r="AR57" s="1309">
        <v>0</v>
      </c>
    </row>
    <row s="1854" customFormat="1" customHeight="1" ht="17.25">
      <c r="A58" s="322"/>
      <c r="C58" s="321"/>
      <c r="D58" s="2136"/>
      <c r="E58" s="2144"/>
      <c r="F58" s="2147"/>
      <c r="G58" s="2144"/>
      <c r="H58" s="2150"/>
      <c r="I58" s="2152"/>
      <c r="J58" s="2154"/>
      <c r="K58" s="2139"/>
      <c r="L58" s="2139"/>
      <c r="M58" s="2139"/>
      <c r="N58" s="2141"/>
      <c r="O58" s="2139"/>
      <c r="P58" s="2139"/>
      <c r="Q58" s="2139"/>
      <c r="R58" s="2142"/>
      <c r="S58" s="2139"/>
      <c r="T58" s="1298"/>
      <c r="U58" s="1298"/>
      <c r="V58" s="1298"/>
      <c r="W58" s="1299"/>
      <c r="X58" s="1260"/>
      <c r="Y58" s="1260"/>
      <c r="Z58" s="1260"/>
      <c r="AA58" s="1260"/>
      <c r="AB58" s="1260"/>
      <c r="AC58" s="1260"/>
      <c r="AD58" s="1260"/>
      <c r="AE58" s="1260"/>
      <c r="AF58" s="1260"/>
      <c r="AG58" s="1260"/>
      <c r="AH58" s="1260"/>
      <c r="AI58" s="1260"/>
      <c r="AJ58" s="1260"/>
      <c r="AK58" s="1260"/>
      <c r="AL58" s="1260"/>
      <c r="AM58" s="1260"/>
      <c r="AN58" s="1260"/>
      <c r="AO58" s="1260"/>
      <c r="AP58" s="1260"/>
      <c r="AQ58" s="1260"/>
      <c r="AR58" s="1309">
        <v>0</v>
      </c>
    </row>
    <row s="1854" customFormat="1" customHeight="1" ht="17.25">
      <c r="A59" s="322"/>
      <c r="C59" s="321"/>
      <c r="D59" s="2137"/>
      <c r="E59" s="2145"/>
      <c r="F59" s="2147"/>
      <c r="G59" s="2145"/>
      <c r="H59" s="2150"/>
      <c r="I59" s="2152"/>
      <c r="J59" s="2155"/>
      <c r="K59" s="2139"/>
      <c r="L59" s="2139"/>
      <c r="M59" s="2139"/>
      <c r="N59" s="2142"/>
      <c r="O59" s="2139"/>
      <c r="P59" s="1472"/>
      <c r="Q59" s="1298"/>
      <c r="R59" s="1298"/>
      <c r="S59" s="330"/>
      <c r="T59" s="330"/>
      <c r="U59" s="330"/>
      <c r="V59" s="330"/>
      <c r="W59" s="1299"/>
      <c r="X59" s="1260"/>
      <c r="Y59" s="1260"/>
      <c r="Z59" s="1260"/>
      <c r="AA59" s="1260"/>
      <c r="AB59" s="1260"/>
      <c r="AC59" s="1260"/>
      <c r="AD59" s="1260"/>
      <c r="AE59" s="1260"/>
      <c r="AF59" s="1260"/>
      <c r="AG59" s="1260"/>
      <c r="AH59" s="1260"/>
      <c r="AI59" s="1260"/>
      <c r="AJ59" s="1260"/>
      <c r="AK59" s="1260"/>
      <c r="AL59" s="1260"/>
      <c r="AM59" s="1260"/>
      <c r="AN59" s="1260"/>
      <c r="AO59" s="1260"/>
      <c r="AP59" s="1260"/>
      <c r="AQ59" s="1260"/>
      <c r="AR59" s="1309">
        <v>0</v>
      </c>
    </row>
    <row s="1854" customFormat="1" customHeight="1" ht="17.25">
      <c r="A60" s="322"/>
      <c r="C60" s="210"/>
      <c r="D60" s="2137"/>
      <c r="E60" s="2145"/>
      <c r="F60" s="2147"/>
      <c r="G60" s="2145"/>
      <c r="H60" s="2150"/>
      <c r="I60" s="2152"/>
      <c r="J60" s="2155"/>
      <c r="K60" s="2139"/>
      <c r="L60" s="1298"/>
      <c r="M60" s="1298"/>
      <c r="N60" s="1298"/>
      <c r="O60" s="1298"/>
      <c r="P60" s="1298"/>
      <c r="Q60" s="1298"/>
      <c r="R60" s="1298"/>
      <c r="S60" s="330"/>
      <c r="T60" s="330"/>
      <c r="U60" s="330"/>
      <c r="V60" s="330"/>
      <c r="W60" s="1299"/>
      <c r="Y60" s="1268"/>
      <c r="Z60" s="1268"/>
      <c r="AA60" s="1268"/>
      <c r="AB60" s="1268"/>
      <c r="AC60" s="1268"/>
      <c r="AD60" s="1268"/>
      <c r="AE60" s="1268"/>
      <c r="AF60" s="1268"/>
      <c r="AG60" s="1268"/>
      <c r="AH60" s="1268"/>
      <c r="AI60" s="1268"/>
      <c r="AJ60" s="1268"/>
      <c r="AK60" s="1268"/>
      <c r="AL60" s="1268"/>
      <c r="AM60" s="1268"/>
      <c r="AN60" s="1268"/>
      <c r="AO60" s="1268"/>
      <c r="AP60" s="1268"/>
      <c r="AQ60" s="1268"/>
      <c r="AR60" s="1327">
        <v>0</v>
      </c>
    </row>
    <row s="1854" customFormat="1" customHeight="1" ht="17.25">
      <c r="A61" s="322"/>
      <c r="C61" s="321"/>
      <c r="D61" s="2137"/>
      <c r="E61" s="2145"/>
      <c r="F61" s="2148"/>
      <c r="G61" s="2145"/>
      <c r="H61" s="1300"/>
      <c r="I61" s="1301"/>
      <c r="J61" s="1301"/>
      <c r="K61" s="1301"/>
      <c r="L61" s="1301"/>
      <c r="M61" s="1301"/>
      <c r="N61" s="1301"/>
      <c r="O61" s="1301"/>
      <c r="P61" s="1301"/>
      <c r="Q61" s="1301"/>
      <c r="R61" s="1301"/>
      <c r="S61" s="1302"/>
      <c r="T61" s="1302"/>
      <c r="U61" s="1302"/>
      <c r="V61" s="1302"/>
      <c r="W61" s="1303"/>
      <c r="X61" s="1260"/>
      <c r="Y61" s="1260"/>
      <c r="Z61" s="1260"/>
      <c r="AA61" s="1260"/>
      <c r="AB61" s="1260"/>
      <c r="AC61" s="1260"/>
      <c r="AD61" s="1260"/>
      <c r="AE61" s="1260"/>
      <c r="AF61" s="1260"/>
      <c r="AG61" s="1260"/>
      <c r="AH61" s="1260"/>
      <c r="AI61" s="1260"/>
      <c r="AJ61" s="1260"/>
      <c r="AK61" s="1260"/>
      <c r="AL61" s="1260"/>
      <c r="AM61" s="1260"/>
      <c r="AN61" s="1260"/>
      <c r="AO61" s="1260"/>
      <c r="AP61" s="1260"/>
      <c r="AQ61" s="1260"/>
      <c r="AR61" s="1309">
        <v>0</v>
      </c>
    </row>
    <row s="1854" customFormat="1" customHeight="1" ht="17.25">
      <c r="A62" s="322"/>
      <c r="C62" s="210"/>
      <c r="D62" s="2136">
        <v>9</v>
      </c>
      <c r="E62" s="2144" t="s">
        <v>221</v>
      </c>
      <c r="F62" s="2146" t="s">
        <v>19</v>
      </c>
      <c r="G62" s="2144"/>
      <c r="H62" s="2149"/>
      <c r="I62" s="2151"/>
      <c r="J62" s="2153"/>
      <c r="K62" s="2138"/>
      <c r="L62" s="2138"/>
      <c r="M62" s="2138"/>
      <c r="N62" s="2140"/>
      <c r="O62" s="2138"/>
      <c r="P62" s="2138"/>
      <c r="Q62" s="2138"/>
      <c r="R62" s="2143"/>
      <c r="S62" s="2138"/>
      <c r="T62" s="1932"/>
      <c r="U62" s="1932"/>
      <c r="V62" s="1934"/>
      <c r="W62" s="1297"/>
      <c r="X62" s="1268"/>
      <c r="Y62" s="1268"/>
      <c r="Z62" s="1268"/>
      <c r="AA62" s="1268"/>
      <c r="AB62" s="1268"/>
      <c r="AC62" s="1268" t="s">
        <v>222</v>
      </c>
      <c r="AD62" s="1268" t="s">
        <v>223</v>
      </c>
      <c r="AE62" s="1268" t="s">
        <v>224</v>
      </c>
      <c r="AF62" s="1268" t="s">
        <v>225</v>
      </c>
      <c r="AG62" s="1268" t="s">
        <v>226</v>
      </c>
      <c r="AH62" s="1268" t="str">
        <f>IF($E$62=0,"",$E$62)</f>
        <v>Плата за подключение (технологическое присоединение) к системе теплоснабжения (индивидуальная)</v>
      </c>
      <c r="AI62" s="1268" t="str">
        <f>IF($G$62=0,"",$G$62)</f>
        <v/>
      </c>
      <c r="AJ62" s="1268" t="str">
        <f>IF($J$62=0,"",$J$62)</f>
        <v/>
      </c>
      <c r="AK62" s="1268" t="str">
        <f>IF($K$62="нет","без дифференциации",IF($N$62=0,"",$N$62))</f>
        <v/>
      </c>
      <c r="AL62" s="1268" t="str">
        <f>IF($O$62="нет","без дифференциации",IF($R$62=0,"",$R$62))</f>
        <v/>
      </c>
      <c r="AM62" s="1268" t="str">
        <f>IF($S$62="нет","без дифференциации",IF($V$62=0,"",$V$62))</f>
        <v/>
      </c>
      <c r="AN62" s="1773">
        <f>$I$62</f>
        <v>0</v>
      </c>
      <c r="AO62" s="1268" t="str">
        <f>$I$62&amp;"."&amp;$M$62</f>
        <v>.</v>
      </c>
      <c r="AP62" s="1267" t="str">
        <f>$I$62&amp;"."&amp;$M$62&amp;"."&amp;$Q$62</f>
        <v>..</v>
      </c>
      <c r="AQ62" s="1267" t="str">
        <f>$I$62&amp;"."&amp;$M$62&amp;"."&amp;$Q$62&amp;"."&amp;$U$62</f>
        <v>...</v>
      </c>
      <c r="AR62" s="1468">
        <v>0</v>
      </c>
    </row>
    <row s="1854" customFormat="1" customHeight="1" ht="17.25">
      <c r="A63" s="322"/>
      <c r="C63" s="321"/>
      <c r="D63" s="2136"/>
      <c r="E63" s="2144"/>
      <c r="F63" s="2147"/>
      <c r="G63" s="2144"/>
      <c r="H63" s="2150"/>
      <c r="I63" s="2152"/>
      <c r="J63" s="2154"/>
      <c r="K63" s="2139"/>
      <c r="L63" s="2139"/>
      <c r="M63" s="2139"/>
      <c r="N63" s="2141"/>
      <c r="O63" s="2139"/>
      <c r="P63" s="2139"/>
      <c r="Q63" s="2139"/>
      <c r="R63" s="2142"/>
      <c r="S63" s="2139"/>
      <c r="T63" s="1935"/>
      <c r="U63" s="1935"/>
      <c r="V63" s="1935"/>
      <c r="W63" s="1936"/>
      <c r="X63" s="1267"/>
      <c r="Y63" s="1267"/>
      <c r="Z63" s="1267"/>
      <c r="AA63" s="1267"/>
      <c r="AB63" s="1267"/>
      <c r="AC63" s="1267"/>
      <c r="AD63" s="1267"/>
      <c r="AE63" s="1267"/>
      <c r="AF63" s="1267"/>
      <c r="AG63" s="1267"/>
      <c r="AH63" s="1267"/>
      <c r="AI63" s="1267"/>
      <c r="AJ63" s="1267"/>
      <c r="AK63" s="1267"/>
      <c r="AL63" s="1267"/>
      <c r="AM63" s="1267"/>
      <c r="AN63" s="1267"/>
      <c r="AO63" s="1267"/>
      <c r="AP63" s="1267"/>
      <c r="AQ63" s="1267"/>
      <c r="AR63" s="1468">
        <v>0</v>
      </c>
    </row>
    <row s="1854" customFormat="1" customHeight="1" ht="17.25">
      <c r="A64" s="322"/>
      <c r="C64" s="321"/>
      <c r="D64" s="2137"/>
      <c r="E64" s="2145"/>
      <c r="F64" s="2147"/>
      <c r="G64" s="2145"/>
      <c r="H64" s="2150"/>
      <c r="I64" s="2152"/>
      <c r="J64" s="2155"/>
      <c r="K64" s="2139"/>
      <c r="L64" s="2139"/>
      <c r="M64" s="2139"/>
      <c r="N64" s="2142"/>
      <c r="O64" s="2139"/>
      <c r="P64" s="1933"/>
      <c r="Q64" s="1935"/>
      <c r="R64" s="1935"/>
      <c r="S64" s="330"/>
      <c r="T64" s="330"/>
      <c r="U64" s="330"/>
      <c r="V64" s="330"/>
      <c r="W64" s="1936"/>
      <c r="X64" s="1267"/>
      <c r="Y64" s="1267"/>
      <c r="Z64" s="1267"/>
      <c r="AA64" s="1267"/>
      <c r="AB64" s="1267"/>
      <c r="AC64" s="1267"/>
      <c r="AD64" s="1267"/>
      <c r="AE64" s="1267"/>
      <c r="AF64" s="1267"/>
      <c r="AG64" s="1267"/>
      <c r="AH64" s="1267"/>
      <c r="AI64" s="1267"/>
      <c r="AJ64" s="1267"/>
      <c r="AK64" s="1267"/>
      <c r="AL64" s="1267"/>
      <c r="AM64" s="1267"/>
      <c r="AN64" s="1267"/>
      <c r="AO64" s="1267"/>
      <c r="AP64" s="1267"/>
      <c r="AQ64" s="1267"/>
      <c r="AR64" s="1468">
        <v>0</v>
      </c>
    </row>
    <row s="1854" customFormat="1" customHeight="1" ht="17.25">
      <c r="A65" s="322"/>
      <c r="C65" s="210"/>
      <c r="D65" s="2137"/>
      <c r="E65" s="2145"/>
      <c r="F65" s="2147"/>
      <c r="G65" s="2145"/>
      <c r="H65" s="2150"/>
      <c r="I65" s="2152"/>
      <c r="J65" s="2155"/>
      <c r="K65" s="2139"/>
      <c r="L65" s="1935"/>
      <c r="M65" s="1935"/>
      <c r="N65" s="1935"/>
      <c r="O65" s="1935"/>
      <c r="P65" s="1935"/>
      <c r="Q65" s="1935"/>
      <c r="R65" s="1935"/>
      <c r="S65" s="330"/>
      <c r="T65" s="330"/>
      <c r="U65" s="330"/>
      <c r="V65" s="330"/>
      <c r="W65" s="1936"/>
      <c r="Y65" s="1268"/>
      <c r="Z65" s="1268"/>
      <c r="AA65" s="1268"/>
      <c r="AB65" s="1268"/>
      <c r="AC65" s="1268"/>
      <c r="AD65" s="1268"/>
      <c r="AE65" s="1268"/>
      <c r="AF65" s="1268"/>
      <c r="AG65" s="1268"/>
      <c r="AH65" s="1268"/>
      <c r="AI65" s="1268"/>
      <c r="AJ65" s="1268"/>
      <c r="AK65" s="1268"/>
      <c r="AL65" s="1268"/>
      <c r="AM65" s="1268"/>
      <c r="AN65" s="1268"/>
      <c r="AO65" s="1268"/>
      <c r="AP65" s="1268"/>
      <c r="AQ65" s="1268"/>
      <c r="AR65" s="1468">
        <v>0</v>
      </c>
    </row>
    <row s="1854" customFormat="1" customHeight="1" ht="17.25">
      <c r="A66" s="322"/>
      <c r="C66" s="321"/>
      <c r="D66" s="2137"/>
      <c r="E66" s="2145"/>
      <c r="F66" s="2148"/>
      <c r="G66" s="2145"/>
      <c r="H66" s="1300"/>
      <c r="I66" s="1937"/>
      <c r="J66" s="1937"/>
      <c r="K66" s="1937"/>
      <c r="L66" s="1937"/>
      <c r="M66" s="1937"/>
      <c r="N66" s="1937"/>
      <c r="O66" s="1937"/>
      <c r="P66" s="1937"/>
      <c r="Q66" s="1937"/>
      <c r="R66" s="1937"/>
      <c r="S66" s="1302"/>
      <c r="T66" s="1302"/>
      <c r="U66" s="1302"/>
      <c r="V66" s="1302"/>
      <c r="W66" s="1938"/>
      <c r="X66" s="1267"/>
      <c r="Y66" s="1267"/>
      <c r="Z66" s="1267"/>
      <c r="AA66" s="1267"/>
      <c r="AB66" s="1267"/>
      <c r="AC66" s="1267"/>
      <c r="AD66" s="1267"/>
      <c r="AE66" s="1267"/>
      <c r="AF66" s="1267"/>
      <c r="AG66" s="1267"/>
      <c r="AH66" s="1267"/>
      <c r="AI66" s="1267"/>
      <c r="AJ66" s="1267"/>
      <c r="AK66" s="1267"/>
      <c r="AL66" s="1267"/>
      <c r="AM66" s="1267"/>
      <c r="AN66" s="1267"/>
      <c r="AO66" s="1267"/>
      <c r="AP66" s="1267"/>
      <c r="AQ66" s="1267"/>
      <c r="AR66" s="1468">
        <v>0</v>
      </c>
    </row>
    <row s="1854" customFormat="1" customHeight="1" ht="17.25" hidden="1">
      <c r="A67" s="322"/>
      <c r="C67" s="210"/>
      <c r="D67" s="2136">
        <v>10</v>
      </c>
      <c r="E67" s="2144" t="s">
        <v>227</v>
      </c>
      <c r="F67" s="2146" t="s">
        <v>19</v>
      </c>
      <c r="G67" s="2144"/>
      <c r="H67" s="2149"/>
      <c r="I67" s="2151"/>
      <c r="J67" s="2153"/>
      <c r="K67" s="2138"/>
      <c r="L67" s="2138"/>
      <c r="M67" s="2138"/>
      <c r="N67" s="2140"/>
      <c r="O67" s="2138"/>
      <c r="P67" s="2138"/>
      <c r="Q67" s="2138"/>
      <c r="R67" s="2143"/>
      <c r="S67" s="2138"/>
      <c r="T67" s="1932"/>
      <c r="U67" s="1932"/>
      <c r="V67" s="1934"/>
      <c r="W67" s="1297"/>
      <c r="X67" s="1268"/>
      <c r="Y67" s="1268"/>
      <c r="Z67" s="1268"/>
      <c r="AA67" s="1268"/>
      <c r="AB67" s="1268"/>
      <c r="AC67" s="1268" t="s">
        <v>228</v>
      </c>
      <c r="AD67" s="1268" t="s">
        <v>229</v>
      </c>
      <c r="AE67" s="1268" t="s">
        <v>230</v>
      </c>
      <c r="AF67" s="1268" t="s">
        <v>231</v>
      </c>
      <c r="AG67" s="1268" t="s">
        <v>232</v>
      </c>
      <c r="AH67" s="1268" t="str">
        <f>IF($E$67=0,"",$E$67)</f>
        <v>Предельный уровень цены на тепловую энергию (мощность), поставляемую теплоснабжающими организациями потребителям</v>
      </c>
      <c r="AI67" s="1268" t="str">
        <f>IF($G$67=0,"",$G$67)</f>
        <v/>
      </c>
      <c r="AJ67" s="1268" t="str">
        <f>IF($J$67=0,"",$J$67)</f>
        <v/>
      </c>
      <c r="AK67" s="1268" t="str">
        <f>IF($K$67="нет","без дифференциации",IF($N$67=0,"",$N$67))</f>
        <v/>
      </c>
      <c r="AL67" s="1268" t="str">
        <f>IF($O$67="нет","без дифференциации",IF($R$67=0,"",$R$67))</f>
        <v/>
      </c>
      <c r="AM67" s="1268" t="str">
        <f>IF($S$67="нет","без дифференциации",IF($V$67=0,"",$V$67))</f>
        <v/>
      </c>
      <c r="AN67" s="1773">
        <f>$I$67</f>
        <v>0</v>
      </c>
      <c r="AO67" s="1268" t="str">
        <f>$I$67&amp;"."&amp;$M$67</f>
        <v>.</v>
      </c>
      <c r="AP67" s="1267" t="str">
        <f>$I$67&amp;"."&amp;$M$67&amp;"."&amp;$Q$67</f>
        <v>..</v>
      </c>
      <c r="AQ67" s="1267" t="str">
        <f>$I$67&amp;"."&amp;$M$67&amp;"."&amp;$Q$67&amp;"."&amp;$U$67</f>
        <v>...</v>
      </c>
      <c r="AR67" s="1468">
        <v>0</v>
      </c>
    </row>
    <row s="1854" customFormat="1" customHeight="1" ht="17.25" hidden="1">
      <c r="A68" s="322"/>
      <c r="C68" s="321"/>
      <c r="D68" s="2136"/>
      <c r="E68" s="2144"/>
      <c r="F68" s="2147"/>
      <c r="G68" s="2144"/>
      <c r="H68" s="2150"/>
      <c r="I68" s="2152"/>
      <c r="J68" s="2154"/>
      <c r="K68" s="2139"/>
      <c r="L68" s="2139"/>
      <c r="M68" s="2139"/>
      <c r="N68" s="2141"/>
      <c r="O68" s="2139"/>
      <c r="P68" s="2139"/>
      <c r="Q68" s="2139"/>
      <c r="R68" s="2142"/>
      <c r="S68" s="2139"/>
      <c r="T68" s="1935"/>
      <c r="U68" s="1935"/>
      <c r="V68" s="1935"/>
      <c r="W68" s="1936"/>
      <c r="X68" s="1267"/>
      <c r="Y68" s="1267"/>
      <c r="Z68" s="1267"/>
      <c r="AA68" s="1267"/>
      <c r="AB68" s="1267"/>
      <c r="AC68" s="1267"/>
      <c r="AD68" s="1267"/>
      <c r="AE68" s="1267"/>
      <c r="AF68" s="1267"/>
      <c r="AG68" s="1267"/>
      <c r="AH68" s="1267"/>
      <c r="AI68" s="1267"/>
      <c r="AJ68" s="1267"/>
      <c r="AK68" s="1267"/>
      <c r="AL68" s="1267"/>
      <c r="AM68" s="1267"/>
      <c r="AN68" s="1267"/>
      <c r="AO68" s="1267"/>
      <c r="AP68" s="1267"/>
      <c r="AQ68" s="1267"/>
      <c r="AR68" s="1468">
        <v>0</v>
      </c>
    </row>
    <row s="1854" customFormat="1" customHeight="1" ht="17.25" hidden="1">
      <c r="A69" s="322"/>
      <c r="C69" s="321"/>
      <c r="D69" s="2137"/>
      <c r="E69" s="2145"/>
      <c r="F69" s="2147"/>
      <c r="G69" s="2145"/>
      <c r="H69" s="2150"/>
      <c r="I69" s="2152"/>
      <c r="J69" s="2155"/>
      <c r="K69" s="2139"/>
      <c r="L69" s="2139"/>
      <c r="M69" s="2139"/>
      <c r="N69" s="2142"/>
      <c r="O69" s="2139"/>
      <c r="P69" s="1933"/>
      <c r="Q69" s="1935"/>
      <c r="R69" s="1935"/>
      <c r="S69" s="330"/>
      <c r="T69" s="330"/>
      <c r="U69" s="330"/>
      <c r="V69" s="330"/>
      <c r="W69" s="1936"/>
      <c r="X69" s="1267"/>
      <c r="Y69" s="1267"/>
      <c r="Z69" s="1267"/>
      <c r="AA69" s="1267"/>
      <c r="AB69" s="1267"/>
      <c r="AC69" s="1267"/>
      <c r="AD69" s="1267"/>
      <c r="AE69" s="1267"/>
      <c r="AF69" s="1267"/>
      <c r="AG69" s="1267"/>
      <c r="AH69" s="1267"/>
      <c r="AI69" s="1267"/>
      <c r="AJ69" s="1267"/>
      <c r="AK69" s="1267"/>
      <c r="AL69" s="1267"/>
      <c r="AM69" s="1267"/>
      <c r="AN69" s="1267"/>
      <c r="AO69" s="1267"/>
      <c r="AP69" s="1267"/>
      <c r="AQ69" s="1267"/>
      <c r="AR69" s="1468">
        <v>0</v>
      </c>
    </row>
    <row s="1854" customFormat="1" customHeight="1" ht="17.25" hidden="1">
      <c r="A70" s="322"/>
      <c r="C70" s="210"/>
      <c r="D70" s="2137"/>
      <c r="E70" s="2145"/>
      <c r="F70" s="2147"/>
      <c r="G70" s="2145"/>
      <c r="H70" s="2150"/>
      <c r="I70" s="2152"/>
      <c r="J70" s="2155"/>
      <c r="K70" s="2139"/>
      <c r="L70" s="1935"/>
      <c r="M70" s="1935"/>
      <c r="N70" s="1935"/>
      <c r="O70" s="1935"/>
      <c r="P70" s="1935"/>
      <c r="Q70" s="1935"/>
      <c r="R70" s="1935"/>
      <c r="S70" s="330"/>
      <c r="T70" s="330"/>
      <c r="U70" s="330"/>
      <c r="V70" s="330"/>
      <c r="W70" s="1936"/>
      <c r="Y70" s="1268"/>
      <c r="Z70" s="1268"/>
      <c r="AA70" s="1268"/>
      <c r="AB70" s="1268"/>
      <c r="AC70" s="1268"/>
      <c r="AD70" s="1268"/>
      <c r="AE70" s="1268"/>
      <c r="AF70" s="1268"/>
      <c r="AG70" s="1268"/>
      <c r="AH70" s="1268"/>
      <c r="AI70" s="1268"/>
      <c r="AJ70" s="1268"/>
      <c r="AK70" s="1268"/>
      <c r="AL70" s="1268"/>
      <c r="AM70" s="1268"/>
      <c r="AN70" s="1268"/>
      <c r="AO70" s="1268"/>
      <c r="AP70" s="1268"/>
      <c r="AQ70" s="1268"/>
      <c r="AR70" s="1468">
        <v>0</v>
      </c>
    </row>
    <row s="1854" customFormat="1" customHeight="1" ht="17.25" hidden="1">
      <c r="A71" s="322"/>
      <c r="C71" s="321"/>
      <c r="D71" s="2137"/>
      <c r="E71" s="2145"/>
      <c r="F71" s="2148"/>
      <c r="G71" s="2145"/>
      <c r="H71" s="1300"/>
      <c r="I71" s="1937"/>
      <c r="J71" s="1937"/>
      <c r="K71" s="1937"/>
      <c r="L71" s="1937"/>
      <c r="M71" s="1937"/>
      <c r="N71" s="1937"/>
      <c r="O71" s="1937"/>
      <c r="P71" s="1937"/>
      <c r="Q71" s="1937"/>
      <c r="R71" s="1937"/>
      <c r="S71" s="1302"/>
      <c r="T71" s="1302"/>
      <c r="U71" s="1302"/>
      <c r="V71" s="1302"/>
      <c r="W71" s="1938"/>
      <c r="X71" s="1267"/>
      <c r="Y71" s="1267"/>
      <c r="Z71" s="1267"/>
      <c r="AA71" s="1267"/>
      <c r="AB71" s="1267"/>
      <c r="AC71" s="1267"/>
      <c r="AD71" s="1267"/>
      <c r="AE71" s="1267"/>
      <c r="AF71" s="1267"/>
      <c r="AG71" s="1267"/>
      <c r="AH71" s="1267"/>
      <c r="AI71" s="1267"/>
      <c r="AJ71" s="1267"/>
      <c r="AK71" s="1267"/>
      <c r="AL71" s="1267"/>
      <c r="AM71" s="1267"/>
      <c r="AN71" s="1267"/>
      <c r="AO71" s="1267"/>
      <c r="AP71" s="1267"/>
      <c r="AQ71" s="1267"/>
      <c r="AR71" s="1468">
        <v>0</v>
      </c>
    </row>
    <row customHeight="1" ht="11.25">
      <c r="AR72" s="105">
        <v>0</v>
      </c>
    </row>
    <row customHeight="1" ht="11.25">
      <c r="E73" s="2175" t="s">
        <v>233</v>
      </c>
      <c r="F73" s="2175"/>
      <c r="G73" s="2175"/>
      <c r="H73" s="2175"/>
      <c r="I73" s="2175"/>
      <c r="J73" s="2175"/>
      <c r="K73" s="2175"/>
      <c r="L73" s="2175"/>
      <c r="M73" s="2175"/>
      <c r="N73" s="2175"/>
      <c r="O73" s="2175"/>
      <c r="P73" s="2175"/>
      <c r="Q73" s="2175"/>
      <c r="R73" s="2175"/>
      <c r="S73" s="2175"/>
      <c r="T73" s="2175"/>
      <c r="U73" s="2175"/>
      <c r="V73" s="2175"/>
      <c r="W73" s="2175"/>
      <c r="AR73" s="105">
        <v>0</v>
      </c>
    </row>
    <row customHeight="1" ht="36.75">
      <c r="E74" s="2173" t="s">
        <v>234</v>
      </c>
      <c r="F74" s="2173"/>
      <c r="G74" s="2174"/>
      <c r="H74" s="2174"/>
      <c r="I74" s="2174"/>
      <c r="J74" s="2174"/>
      <c r="K74" s="2174"/>
      <c r="L74" s="2174"/>
      <c r="M74" s="2174"/>
      <c r="N74" s="2174"/>
      <c r="O74" s="2174"/>
      <c r="P74" s="2174"/>
      <c r="Q74" s="2174"/>
      <c r="R74" s="2174"/>
      <c r="S74" s="2174"/>
      <c r="T74" s="2174"/>
      <c r="U74" s="2174"/>
      <c r="V74" s="2174"/>
      <c r="W74" s="2174"/>
      <c r="AR74" s="105">
        <v>0</v>
      </c>
    </row>
    <row customHeight="1" ht="28.5">
      <c r="E75" s="2173" t="s">
        <v>235</v>
      </c>
      <c r="F75" s="2173"/>
      <c r="G75" s="2174"/>
      <c r="H75" s="2174"/>
      <c r="I75" s="2174"/>
      <c r="J75" s="2174"/>
      <c r="K75" s="2174"/>
      <c r="L75" s="2174"/>
      <c r="M75" s="2174"/>
      <c r="N75" s="2174"/>
      <c r="O75" s="2174"/>
      <c r="P75" s="2174"/>
      <c r="Q75" s="2174"/>
      <c r="R75" s="2174"/>
      <c r="S75" s="2174"/>
      <c r="T75" s="2174"/>
      <c r="U75" s="2174"/>
      <c r="V75" s="2174"/>
      <c r="W75" s="2174"/>
      <c r="AR75" s="105">
        <v>0</v>
      </c>
    </row>
    <row customHeight="1" ht="27">
      <c r="E76" s="2173" t="s">
        <v>236</v>
      </c>
      <c r="F76" s="2173"/>
      <c r="G76" s="2174"/>
      <c r="H76" s="2174"/>
      <c r="I76" s="2174"/>
      <c r="J76" s="2174"/>
      <c r="K76" s="2174"/>
      <c r="L76" s="2174"/>
      <c r="M76" s="2174"/>
      <c r="N76" s="2174"/>
      <c r="O76" s="2174"/>
      <c r="P76" s="2174"/>
      <c r="Q76" s="2174"/>
      <c r="R76" s="2174"/>
      <c r="S76" s="2174"/>
      <c r="T76" s="2174"/>
      <c r="U76" s="2174"/>
      <c r="V76" s="2174"/>
      <c r="W76" s="2174"/>
      <c r="AR76" s="105">
        <v>0</v>
      </c>
    </row>
    <row customHeight="1" ht="17.25">
      <c r="E77" s="2173" t="s">
        <v>237</v>
      </c>
      <c r="F77" s="2173"/>
      <c r="G77" s="2174"/>
      <c r="H77" s="2174"/>
      <c r="I77" s="2174"/>
      <c r="J77" s="2174"/>
      <c r="K77" s="2174"/>
      <c r="L77" s="2174"/>
      <c r="M77" s="2174"/>
      <c r="N77" s="2174"/>
      <c r="O77" s="2174"/>
      <c r="P77" s="2174"/>
      <c r="Q77" s="2174"/>
      <c r="R77" s="2174"/>
      <c r="S77" s="2174"/>
      <c r="T77" s="2174"/>
      <c r="U77" s="2174"/>
      <c r="V77" s="2174"/>
      <c r="W77" s="2174"/>
      <c r="AR77" s="105">
        <v>0</v>
      </c>
    </row>
    <row customHeight="1" ht="15">
      <c r="E78" s="341"/>
      <c r="F78" s="1286"/>
      <c r="G78" s="158"/>
      <c r="H78" s="158"/>
      <c r="I78" s="158"/>
      <c r="J78" s="158"/>
      <c r="K78" s="158"/>
      <c r="L78" s="158"/>
      <c r="M78" s="158"/>
      <c r="N78" s="158"/>
      <c r="O78" s="158"/>
      <c r="P78" s="158"/>
      <c r="Q78" s="158"/>
      <c r="R78" s="158"/>
      <c r="S78" s="158"/>
      <c r="T78" s="158"/>
      <c r="U78" s="158"/>
      <c r="V78" s="158"/>
      <c r="W78" s="158"/>
      <c r="AR78" s="105">
        <v>0</v>
      </c>
    </row>
    <row customHeight="1" ht="15">
      <c r="E79" s="2175" t="s">
        <v>238</v>
      </c>
      <c r="F79" s="2175"/>
      <c r="G79" s="2175"/>
      <c r="H79" s="2175"/>
      <c r="I79" s="2175"/>
      <c r="J79" s="2175"/>
      <c r="K79" s="2175"/>
      <c r="L79" s="2175"/>
      <c r="M79" s="2175"/>
      <c r="N79" s="2175"/>
      <c r="O79" s="2175"/>
      <c r="P79" s="2175"/>
      <c r="Q79" s="2175"/>
      <c r="R79" s="2175"/>
      <c r="S79" s="2175"/>
      <c r="T79" s="2175"/>
      <c r="U79" s="2175"/>
      <c r="V79" s="2175"/>
      <c r="W79" s="2175"/>
      <c r="AR79" s="105">
        <v>0</v>
      </c>
    </row>
    <row customHeight="1" ht="17.25">
      <c r="E80" s="2173" t="s">
        <v>239</v>
      </c>
      <c r="F80" s="2173"/>
      <c r="G80" s="2174"/>
      <c r="H80" s="2174"/>
      <c r="I80" s="2174"/>
      <c r="J80" s="2174"/>
      <c r="K80" s="2174"/>
      <c r="L80" s="2174"/>
      <c r="M80" s="2174"/>
      <c r="N80" s="2174"/>
      <c r="O80" s="2174"/>
      <c r="P80" s="2174"/>
      <c r="Q80" s="2174"/>
      <c r="R80" s="2174"/>
      <c r="S80" s="2174"/>
      <c r="T80" s="2174"/>
      <c r="U80" s="2174"/>
      <c r="V80" s="2174"/>
      <c r="W80" s="2174"/>
      <c r="AR80" s="105">
        <v>0</v>
      </c>
    </row>
    <row customHeight="1" ht="17.25">
      <c r="E81" s="2173" t="s">
        <v>240</v>
      </c>
      <c r="F81" s="2173"/>
      <c r="G81" s="2174"/>
      <c r="H81" s="2174"/>
      <c r="I81" s="2174"/>
      <c r="J81" s="2174"/>
      <c r="K81" s="2174"/>
      <c r="L81" s="2174"/>
      <c r="M81" s="2174"/>
      <c r="N81" s="2174"/>
      <c r="O81" s="2174"/>
      <c r="P81" s="2174"/>
      <c r="Q81" s="2174"/>
      <c r="R81" s="2174"/>
      <c r="S81" s="2174"/>
      <c r="T81" s="2174"/>
      <c r="U81" s="2174"/>
      <c r="V81" s="2174"/>
      <c r="W81" s="2174"/>
      <c r="AR81" s="105">
        <v>0</v>
      </c>
    </row>
    <row s="1854" customFormat="1" customHeight="1" ht="11.25" hidden="1">
      <c r="A82" s="278"/>
      <c r="B82" s="278"/>
      <c r="Y82" s="1260"/>
      <c r="Z82" s="1260"/>
      <c r="AA82" s="1260"/>
      <c r="AB82" s="1260"/>
      <c r="AC82" s="1260"/>
      <c r="AD82" s="1260"/>
      <c r="AE82" s="1260"/>
      <c r="AF82" s="1260"/>
      <c r="AG82" s="1260"/>
      <c r="AH82" s="1260"/>
      <c r="AI82" s="1260"/>
      <c r="AJ82" s="1260"/>
      <c r="AK82" s="1260"/>
      <c r="AL82" s="1260"/>
      <c r="AM82" s="1260"/>
      <c r="AN82" s="1260"/>
      <c r="AO82" s="1260"/>
      <c r="AP82" s="1260"/>
      <c r="AQ82" s="1260"/>
      <c r="AR82" s="1351">
        <v>0</v>
      </c>
    </row>
    <row s="1854" customFormat="1" customHeight="1" ht="17.25" hidden="1">
      <c r="A83" s="322"/>
      <c r="C83" s="210"/>
      <c r="D83" s="2136">
        <v>1</v>
      </c>
      <c r="E83" s="2144" t="s">
        <v>241</v>
      </c>
      <c r="F83" s="2146" t="s">
        <v>19</v>
      </c>
      <c r="G83" s="2144"/>
      <c r="H83" s="2149"/>
      <c r="I83" s="2151"/>
      <c r="J83" s="2153"/>
      <c r="K83" s="2138"/>
      <c r="L83" s="2138"/>
      <c r="M83" s="2138"/>
      <c r="N83" s="2140"/>
      <c r="O83" s="2138"/>
      <c r="P83" s="2138"/>
      <c r="Q83" s="2138"/>
      <c r="R83" s="2143"/>
      <c r="S83" s="2138"/>
      <c r="T83" s="1471"/>
      <c r="U83" s="1471"/>
      <c r="V83" s="1473"/>
      <c r="W83" s="1297"/>
      <c r="Y83" s="1268"/>
      <c r="Z83" s="1268"/>
      <c r="AA83" s="1268"/>
      <c r="AB83" s="1268"/>
      <c r="AC83" s="1268" t="s">
        <v>242</v>
      </c>
      <c r="AD83" s="1268" t="s">
        <v>243</v>
      </c>
      <c r="AE83" s="1268" t="s">
        <v>244</v>
      </c>
      <c r="AF83" s="1268" t="s">
        <v>245</v>
      </c>
      <c r="AG83" s="1268"/>
      <c r="AH83" s="1268" t="str">
        <f>IF($E$83=0,"",$E$83)</f>
        <v>Тариф на питьевую воду (питьевое водоснабжение)</v>
      </c>
      <c r="AI83" s="1268" t="str">
        <f>IF($G$83=0,"",$G$83)</f>
        <v/>
      </c>
      <c r="AJ83" s="1268" t="str">
        <f>IF($J$83=0,"",$J$83)</f>
        <v/>
      </c>
      <c r="AK83" s="1268" t="str">
        <f>IF($K$83="нет","без дифференциации",IF($N$83=0,"",$N$83))</f>
        <v/>
      </c>
      <c r="AL83" s="1268" t="str">
        <f>IF($O$83="нет","без дифференциации",IF($R$83=0,"",$R$83))</f>
        <v/>
      </c>
      <c r="AM83" s="1268" t="str">
        <f>IF($S$83="нет","без дифференциации",IF($V$83=0,"",$V$83))</f>
        <v/>
      </c>
      <c r="AN83" s="1268">
        <f>$I$83</f>
        <v>0</v>
      </c>
      <c r="AO83" s="1268" t="str">
        <f>$I$83&amp;"."&amp;$M$83</f>
        <v>.</v>
      </c>
      <c r="AP83" s="1268" t="str">
        <f>$I$83&amp;"."&amp;$M$83&amp;"."&amp;$Q$83</f>
        <v>..</v>
      </c>
      <c r="AQ83" s="1268" t="str">
        <f>$I$83&amp;"."&amp;$M$83&amp;"."&amp;$Q$83&amp;"."&amp;$U$83</f>
        <v>...</v>
      </c>
      <c r="AR83" s="1351">
        <v>0</v>
      </c>
    </row>
    <row s="1854" customFormat="1" customHeight="1" ht="17.25" hidden="1">
      <c r="A84" s="322"/>
      <c r="C84" s="321"/>
      <c r="D84" s="2136"/>
      <c r="E84" s="2144"/>
      <c r="F84" s="2147"/>
      <c r="G84" s="2144"/>
      <c r="H84" s="2150"/>
      <c r="I84" s="2152"/>
      <c r="J84" s="2154"/>
      <c r="K84" s="2139"/>
      <c r="L84" s="2139"/>
      <c r="M84" s="2139"/>
      <c r="N84" s="2141"/>
      <c r="O84" s="2139"/>
      <c r="P84" s="2139"/>
      <c r="Q84" s="2139"/>
      <c r="R84" s="2142"/>
      <c r="S84" s="2139"/>
      <c r="T84" s="1298"/>
      <c r="U84" s="1298"/>
      <c r="V84" s="1298"/>
      <c r="W84" s="1299"/>
      <c r="Y84" s="1260"/>
      <c r="Z84" s="1260"/>
      <c r="AA84" s="1260"/>
      <c r="AB84" s="1260"/>
      <c r="AC84" s="1260"/>
      <c r="AD84" s="1260"/>
      <c r="AE84" s="1260"/>
      <c r="AF84" s="1260"/>
      <c r="AG84" s="1260"/>
      <c r="AH84" s="1260"/>
      <c r="AI84" s="1260"/>
      <c r="AJ84" s="1260"/>
      <c r="AK84" s="1260"/>
      <c r="AL84" s="1260"/>
      <c r="AM84" s="1260"/>
      <c r="AN84" s="1260"/>
      <c r="AO84" s="1260"/>
      <c r="AP84" s="1260"/>
      <c r="AQ84" s="1260"/>
      <c r="AR84" s="1351">
        <v>0</v>
      </c>
    </row>
    <row s="1854" customFormat="1" customHeight="1" ht="17.25" hidden="1">
      <c r="A85" s="322"/>
      <c r="C85" s="210"/>
      <c r="D85" s="2136"/>
      <c r="E85" s="2144"/>
      <c r="F85" s="2147"/>
      <c r="G85" s="2144"/>
      <c r="H85" s="2150"/>
      <c r="I85" s="2152"/>
      <c r="J85" s="2155"/>
      <c r="K85" s="2139"/>
      <c r="L85" s="2139"/>
      <c r="M85" s="2139"/>
      <c r="N85" s="2142"/>
      <c r="O85" s="2139"/>
      <c r="P85" s="1472"/>
      <c r="Q85" s="1298"/>
      <c r="R85" s="1298"/>
      <c r="S85" s="330"/>
      <c r="T85" s="330"/>
      <c r="U85" s="330"/>
      <c r="V85" s="330"/>
      <c r="W85" s="1299"/>
      <c r="Y85" s="1268"/>
      <c r="Z85" s="1268"/>
      <c r="AA85" s="1268"/>
      <c r="AB85" s="1268"/>
      <c r="AC85" s="1268"/>
      <c r="AD85" s="1268"/>
      <c r="AE85" s="1268"/>
      <c r="AF85" s="1268"/>
      <c r="AG85" s="1268"/>
      <c r="AH85" s="1268"/>
      <c r="AI85" s="1268"/>
      <c r="AJ85" s="1268"/>
      <c r="AK85" s="1268"/>
      <c r="AL85" s="1268"/>
      <c r="AM85" s="1268"/>
      <c r="AN85" s="1268"/>
      <c r="AO85" s="1268"/>
      <c r="AP85" s="1268"/>
      <c r="AQ85" s="1268"/>
      <c r="AR85" s="1442">
        <v>0</v>
      </c>
    </row>
    <row s="1854" customFormat="1" customHeight="1" ht="17.25" hidden="1">
      <c r="A86" s="322"/>
      <c r="C86" s="321"/>
      <c r="D86" s="2136"/>
      <c r="E86" s="2144"/>
      <c r="F86" s="2147"/>
      <c r="G86" s="2144"/>
      <c r="H86" s="2150"/>
      <c r="I86" s="2152"/>
      <c r="J86" s="2155"/>
      <c r="K86" s="2139"/>
      <c r="L86" s="1298"/>
      <c r="M86" s="1298"/>
      <c r="N86" s="1298"/>
      <c r="O86" s="1298"/>
      <c r="P86" s="1298"/>
      <c r="Q86" s="1298"/>
      <c r="R86" s="1298"/>
      <c r="S86" s="330"/>
      <c r="T86" s="330"/>
      <c r="U86" s="330"/>
      <c r="V86" s="330"/>
      <c r="W86" s="1299"/>
      <c r="Y86" s="1260"/>
      <c r="Z86" s="1260"/>
      <c r="AA86" s="1260"/>
      <c r="AB86" s="1260"/>
      <c r="AC86" s="1260"/>
      <c r="AD86" s="1260"/>
      <c r="AE86" s="1260"/>
      <c r="AF86" s="1260"/>
      <c r="AG86" s="1260"/>
      <c r="AH86" s="1260"/>
      <c r="AI86" s="1260"/>
      <c r="AJ86" s="1260"/>
      <c r="AK86" s="1260"/>
      <c r="AL86" s="1260"/>
      <c r="AM86" s="1260"/>
      <c r="AN86" s="1260"/>
      <c r="AO86" s="1260"/>
      <c r="AP86" s="1260"/>
      <c r="AQ86" s="1260"/>
      <c r="AR86" s="1442">
        <v>0</v>
      </c>
    </row>
    <row s="1854" customFormat="1" customHeight="1" ht="17.25" hidden="1">
      <c r="A87" s="322"/>
      <c r="C87" s="321"/>
      <c r="D87" s="2137"/>
      <c r="E87" s="2145"/>
      <c r="F87" s="2148"/>
      <c r="G87" s="2145"/>
      <c r="H87" s="1300"/>
      <c r="I87" s="1301"/>
      <c r="J87" s="1301"/>
      <c r="K87" s="1301"/>
      <c r="L87" s="1301"/>
      <c r="M87" s="1301"/>
      <c r="N87" s="1301"/>
      <c r="O87" s="1301"/>
      <c r="P87" s="1301"/>
      <c r="Q87" s="1301"/>
      <c r="R87" s="1301"/>
      <c r="S87" s="1302"/>
      <c r="T87" s="1302"/>
      <c r="U87" s="1302"/>
      <c r="V87" s="1302"/>
      <c r="W87" s="1303"/>
      <c r="Y87" s="1260"/>
      <c r="Z87" s="1260"/>
      <c r="AA87" s="1260"/>
      <c r="AB87" s="1260"/>
      <c r="AC87" s="1260"/>
      <c r="AD87" s="1260"/>
      <c r="AE87" s="1260"/>
      <c r="AF87" s="1260"/>
      <c r="AG87" s="1260"/>
      <c r="AH87" s="1260"/>
      <c r="AI87" s="1260"/>
      <c r="AJ87" s="1260"/>
      <c r="AK87" s="1260"/>
      <c r="AL87" s="1260"/>
      <c r="AM87" s="1260"/>
      <c r="AN87" s="1260"/>
      <c r="AO87" s="1260"/>
      <c r="AP87" s="1260"/>
      <c r="AQ87" s="1260"/>
      <c r="AR87" s="1351">
        <v>0</v>
      </c>
    </row>
    <row s="1854" customFormat="1" customHeight="1" ht="17.25" hidden="1">
      <c r="A88" s="322"/>
      <c r="C88" s="210"/>
      <c r="D88" s="2136">
        <v>2</v>
      </c>
      <c r="E88" s="2144" t="s">
        <v>246</v>
      </c>
      <c r="F88" s="2146" t="s">
        <v>19</v>
      </c>
      <c r="G88" s="2144"/>
      <c r="H88" s="2149"/>
      <c r="I88" s="2151"/>
      <c r="J88" s="2153"/>
      <c r="K88" s="2138"/>
      <c r="L88" s="2138"/>
      <c r="M88" s="2138"/>
      <c r="N88" s="2140"/>
      <c r="O88" s="2138"/>
      <c r="P88" s="2138"/>
      <c r="Q88" s="2138"/>
      <c r="R88" s="2143"/>
      <c r="S88" s="2138"/>
      <c r="T88" s="1444"/>
      <c r="U88" s="1444"/>
      <c r="V88" s="1446"/>
      <c r="W88" s="1297"/>
      <c r="X88" s="1268"/>
      <c r="Y88" s="1268"/>
      <c r="Z88" s="1268"/>
      <c r="AA88" s="1268"/>
      <c r="AB88" s="1268"/>
      <c r="AC88" s="1268" t="s">
        <v>247</v>
      </c>
      <c r="AD88" s="1268" t="s">
        <v>248</v>
      </c>
      <c r="AE88" s="1268" t="s">
        <v>249</v>
      </c>
      <c r="AF88" s="1268" t="s">
        <v>250</v>
      </c>
      <c r="AG88" s="1268"/>
      <c r="AH88" s="1268" t="str">
        <f>IF($E$88=0,"",$E$88)</f>
        <v>Тариф на техническую воду</v>
      </c>
      <c r="AI88" s="1268" t="str">
        <f>IF($G$88=0,"",$G$88)</f>
        <v/>
      </c>
      <c r="AJ88" s="1268" t="str">
        <f>IF($J$88=0,"",$J$88)</f>
        <v/>
      </c>
      <c r="AK88" s="1268" t="str">
        <f>IF($K$88="нет","без дифференциации",IF($N$88=0,"",$N$88))</f>
        <v/>
      </c>
      <c r="AL88" s="1268" t="str">
        <f>IF($O$88="нет","без дифференциации",IF($R$88=0,"",$R$88))</f>
        <v/>
      </c>
      <c r="AM88" s="1268" t="str">
        <f>IF($S$88="нет","без дифференциации",IF($V$88=0,"",$V$88))</f>
        <v/>
      </c>
      <c r="AN88" s="1773">
        <f>$I$88</f>
        <v>0</v>
      </c>
      <c r="AO88" s="1268" t="str">
        <f>$I$88&amp;"."&amp;$M$88</f>
        <v>.</v>
      </c>
      <c r="AP88" s="1260" t="str">
        <f>$I$88&amp;"."&amp;$M$88&amp;"."&amp;$Q$88</f>
        <v>..</v>
      </c>
      <c r="AQ88" s="1260" t="str">
        <f>$I$88&amp;"."&amp;$M$88&amp;"."&amp;$Q$88&amp;"."&amp;$U$88</f>
        <v>...</v>
      </c>
      <c r="AR88" s="1351">
        <v>0</v>
      </c>
    </row>
    <row s="1854" customFormat="1" customHeight="1" ht="17.25" hidden="1">
      <c r="A89" s="322"/>
      <c r="C89" s="321"/>
      <c r="D89" s="2136"/>
      <c r="E89" s="2144"/>
      <c r="F89" s="2147"/>
      <c r="G89" s="2144"/>
      <c r="H89" s="2150"/>
      <c r="I89" s="2152"/>
      <c r="J89" s="2154"/>
      <c r="K89" s="2139"/>
      <c r="L89" s="2139"/>
      <c r="M89" s="2139"/>
      <c r="N89" s="2141"/>
      <c r="O89" s="2139"/>
      <c r="P89" s="2139"/>
      <c r="Q89" s="2139"/>
      <c r="R89" s="2142"/>
      <c r="S89" s="2139"/>
      <c r="T89" s="1298"/>
      <c r="U89" s="1298"/>
      <c r="V89" s="1298"/>
      <c r="W89" s="1299"/>
      <c r="X89" s="1260"/>
      <c r="Y89" s="1260"/>
      <c r="Z89" s="1260"/>
      <c r="AA89" s="1260"/>
      <c r="AB89" s="1260"/>
      <c r="AC89" s="1260"/>
      <c r="AD89" s="1260"/>
      <c r="AE89" s="1260"/>
      <c r="AF89" s="1260"/>
      <c r="AG89" s="1260"/>
      <c r="AH89" s="1260"/>
      <c r="AI89" s="1260"/>
      <c r="AJ89" s="1260"/>
      <c r="AK89" s="1260"/>
      <c r="AL89" s="1260"/>
      <c r="AM89" s="1260"/>
      <c r="AN89" s="1260"/>
      <c r="AO89" s="1260"/>
      <c r="AP89" s="1260"/>
      <c r="AQ89" s="1260"/>
      <c r="AR89" s="1351">
        <v>0</v>
      </c>
    </row>
    <row s="1854" customFormat="1" customHeight="1" ht="17.25" hidden="1">
      <c r="A90" s="322"/>
      <c r="C90" s="321"/>
      <c r="D90" s="2137"/>
      <c r="E90" s="2145"/>
      <c r="F90" s="2147"/>
      <c r="G90" s="2145"/>
      <c r="H90" s="2150"/>
      <c r="I90" s="2152"/>
      <c r="J90" s="2155"/>
      <c r="K90" s="2139"/>
      <c r="L90" s="2139"/>
      <c r="M90" s="2139"/>
      <c r="N90" s="2142"/>
      <c r="O90" s="2139"/>
      <c r="P90" s="1445"/>
      <c r="Q90" s="1298"/>
      <c r="R90" s="1298"/>
      <c r="S90" s="330"/>
      <c r="T90" s="330"/>
      <c r="U90" s="330"/>
      <c r="V90" s="330"/>
      <c r="W90" s="1299"/>
      <c r="X90" s="1260"/>
      <c r="Y90" s="1260"/>
      <c r="Z90" s="1260"/>
      <c r="AA90" s="1260"/>
      <c r="AB90" s="1260"/>
      <c r="AC90" s="1260"/>
      <c r="AD90" s="1260"/>
      <c r="AE90" s="1260"/>
      <c r="AF90" s="1260"/>
      <c r="AG90" s="1260"/>
      <c r="AH90" s="1260"/>
      <c r="AI90" s="1260"/>
      <c r="AJ90" s="1260"/>
      <c r="AK90" s="1260"/>
      <c r="AL90" s="1260"/>
      <c r="AM90" s="1260"/>
      <c r="AN90" s="1260"/>
      <c r="AO90" s="1260"/>
      <c r="AP90" s="1260"/>
      <c r="AQ90" s="1260"/>
      <c r="AR90" s="1351">
        <v>0</v>
      </c>
    </row>
    <row s="1854" customFormat="1" customHeight="1" ht="17.25" hidden="1">
      <c r="A91" s="322"/>
      <c r="C91" s="321"/>
      <c r="D91" s="2137"/>
      <c r="E91" s="2145"/>
      <c r="F91" s="2147"/>
      <c r="G91" s="2145"/>
      <c r="H91" s="2150"/>
      <c r="I91" s="2152"/>
      <c r="J91" s="2155"/>
      <c r="K91" s="2139"/>
      <c r="L91" s="1298"/>
      <c r="M91" s="1298"/>
      <c r="N91" s="1298"/>
      <c r="O91" s="1298"/>
      <c r="P91" s="1298"/>
      <c r="Q91" s="1298"/>
      <c r="R91" s="1298"/>
      <c r="S91" s="330"/>
      <c r="T91" s="330"/>
      <c r="U91" s="330"/>
      <c r="V91" s="330"/>
      <c r="W91" s="1299"/>
      <c r="X91" s="1260"/>
      <c r="Y91" s="1260"/>
      <c r="Z91" s="1260"/>
      <c r="AA91" s="1260"/>
      <c r="AB91" s="1260"/>
      <c r="AC91" s="1260"/>
      <c r="AD91" s="1260"/>
      <c r="AE91" s="1260"/>
      <c r="AF91" s="1260"/>
      <c r="AG91" s="1260"/>
      <c r="AH91" s="1260"/>
      <c r="AI91" s="1260"/>
      <c r="AJ91" s="1260"/>
      <c r="AK91" s="1260"/>
      <c r="AL91" s="1260"/>
      <c r="AM91" s="1260"/>
      <c r="AN91" s="1260"/>
      <c r="AO91" s="1260"/>
      <c r="AP91" s="1260"/>
      <c r="AQ91" s="1260"/>
      <c r="AR91" s="1351">
        <v>0</v>
      </c>
    </row>
    <row s="1854" customFormat="1" customHeight="1" ht="17.25" hidden="1">
      <c r="A92" s="322"/>
      <c r="C92" s="321"/>
      <c r="D92" s="2137"/>
      <c r="E92" s="2145"/>
      <c r="F92" s="2148"/>
      <c r="G92" s="2145"/>
      <c r="H92" s="1300"/>
      <c r="I92" s="1301"/>
      <c r="J92" s="1301"/>
      <c r="K92" s="1301"/>
      <c r="L92" s="1301"/>
      <c r="M92" s="1301"/>
      <c r="N92" s="1301"/>
      <c r="O92" s="1301"/>
      <c r="P92" s="1301"/>
      <c r="Q92" s="1301"/>
      <c r="R92" s="1301"/>
      <c r="S92" s="1302"/>
      <c r="T92" s="1302"/>
      <c r="U92" s="1302"/>
      <c r="V92" s="1302"/>
      <c r="W92" s="1303"/>
      <c r="X92" s="1260"/>
      <c r="Y92" s="1260"/>
      <c r="Z92" s="1260"/>
      <c r="AA92" s="1260"/>
      <c r="AB92" s="1260"/>
      <c r="AC92" s="1260"/>
      <c r="AD92" s="1260"/>
      <c r="AE92" s="1260"/>
      <c r="AF92" s="1260"/>
      <c r="AG92" s="1260"/>
      <c r="AH92" s="1260"/>
      <c r="AI92" s="1260"/>
      <c r="AJ92" s="1260"/>
      <c r="AK92" s="1260"/>
      <c r="AL92" s="1260"/>
      <c r="AM92" s="1260"/>
      <c r="AN92" s="1260"/>
      <c r="AO92" s="1260"/>
      <c r="AP92" s="1260"/>
      <c r="AQ92" s="1260"/>
      <c r="AR92" s="1351">
        <v>0</v>
      </c>
    </row>
    <row s="1854" customFormat="1" customHeight="1" ht="17.25" hidden="1">
      <c r="A93" s="322"/>
      <c r="C93" s="210"/>
      <c r="D93" s="2136">
        <v>3</v>
      </c>
      <c r="E93" s="2144" t="s">
        <v>251</v>
      </c>
      <c r="F93" s="2146" t="s">
        <v>19</v>
      </c>
      <c r="G93" s="2144"/>
      <c r="H93" s="2149"/>
      <c r="I93" s="2151"/>
      <c r="J93" s="2153"/>
      <c r="K93" s="2138"/>
      <c r="L93" s="2138"/>
      <c r="M93" s="2138"/>
      <c r="N93" s="2140"/>
      <c r="O93" s="2138"/>
      <c r="P93" s="2138"/>
      <c r="Q93" s="2138"/>
      <c r="R93" s="2143"/>
      <c r="S93" s="2138"/>
      <c r="T93" s="1444"/>
      <c r="U93" s="1444"/>
      <c r="V93" s="1446"/>
      <c r="W93" s="1297"/>
      <c r="X93" s="1268"/>
      <c r="Y93" s="1268"/>
      <c r="Z93" s="1268"/>
      <c r="AA93" s="1268"/>
      <c r="AB93" s="1268"/>
      <c r="AC93" s="1268" t="s">
        <v>252</v>
      </c>
      <c r="AD93" s="1268" t="s">
        <v>253</v>
      </c>
      <c r="AE93" s="1268" t="s">
        <v>254</v>
      </c>
      <c r="AF93" s="1268" t="s">
        <v>255</v>
      </c>
      <c r="AG93" s="1268"/>
      <c r="AH93" s="1268" t="str">
        <f>IF($E$93=0,"",$E$93)</f>
        <v>Тариф на транспортировку воды</v>
      </c>
      <c r="AI93" s="1268" t="str">
        <f>IF($G$93=0,"",$G$93)</f>
        <v/>
      </c>
      <c r="AJ93" s="1268" t="str">
        <f>IF($J$93=0,"",$J$93)</f>
        <v/>
      </c>
      <c r="AK93" s="1268" t="str">
        <f>IF($K$93="нет","без дифференциации",IF($N$93=0,"",$N$93))</f>
        <v/>
      </c>
      <c r="AL93" s="1268" t="str">
        <f>IF($O$93="нет","без дифференциации",IF($R$93=0,"",$R$93))</f>
        <v/>
      </c>
      <c r="AM93" s="1268" t="str">
        <f>IF($S$93="нет","без дифференциации",IF($V$93=0,"",$V$93))</f>
        <v/>
      </c>
      <c r="AN93" s="1773">
        <f>$I$93</f>
        <v>0</v>
      </c>
      <c r="AO93" s="1268" t="str">
        <f>$I$93&amp;"."&amp;$M$93</f>
        <v>.</v>
      </c>
      <c r="AP93" s="1260" t="str">
        <f>$I$93&amp;"."&amp;$M$93&amp;"."&amp;$Q$93</f>
        <v>..</v>
      </c>
      <c r="AQ93" s="1260" t="str">
        <f>$I$93&amp;"."&amp;$M$93&amp;"."&amp;$Q$93&amp;"."&amp;$U$93</f>
        <v>...</v>
      </c>
      <c r="AR93" s="1351">
        <v>0</v>
      </c>
    </row>
    <row s="1854" customFormat="1" customHeight="1" ht="17.25" hidden="1">
      <c r="A94" s="322"/>
      <c r="C94" s="321"/>
      <c r="D94" s="2136"/>
      <c r="E94" s="2144"/>
      <c r="F94" s="2147"/>
      <c r="G94" s="2144"/>
      <c r="H94" s="2150"/>
      <c r="I94" s="2152"/>
      <c r="J94" s="2154"/>
      <c r="K94" s="2139"/>
      <c r="L94" s="2139"/>
      <c r="M94" s="2139"/>
      <c r="N94" s="2141"/>
      <c r="O94" s="2139"/>
      <c r="P94" s="2139"/>
      <c r="Q94" s="2139"/>
      <c r="R94" s="2142"/>
      <c r="S94" s="2139"/>
      <c r="T94" s="1298"/>
      <c r="U94" s="1298"/>
      <c r="V94" s="1298"/>
      <c r="W94" s="1299"/>
      <c r="X94" s="1260"/>
      <c r="Y94" s="1260"/>
      <c r="Z94" s="1260"/>
      <c r="AA94" s="1260"/>
      <c r="AB94" s="1260"/>
      <c r="AC94" s="1260"/>
      <c r="AD94" s="1260"/>
      <c r="AE94" s="1260"/>
      <c r="AF94" s="1260"/>
      <c r="AG94" s="1260"/>
      <c r="AH94" s="1260"/>
      <c r="AI94" s="1260"/>
      <c r="AJ94" s="1260"/>
      <c r="AK94" s="1260"/>
      <c r="AL94" s="1260"/>
      <c r="AM94" s="1260"/>
      <c r="AN94" s="1260"/>
      <c r="AO94" s="1260"/>
      <c r="AP94" s="1260"/>
      <c r="AQ94" s="1260"/>
      <c r="AR94" s="1351">
        <v>0</v>
      </c>
    </row>
    <row s="1854" customFormat="1" customHeight="1" ht="17.25" hidden="1">
      <c r="A95" s="322"/>
      <c r="C95" s="321"/>
      <c r="D95" s="2137"/>
      <c r="E95" s="2145"/>
      <c r="F95" s="2147"/>
      <c r="G95" s="2145"/>
      <c r="H95" s="2150"/>
      <c r="I95" s="2152"/>
      <c r="J95" s="2155"/>
      <c r="K95" s="2139"/>
      <c r="L95" s="2139"/>
      <c r="M95" s="2139"/>
      <c r="N95" s="2142"/>
      <c r="O95" s="2139"/>
      <c r="P95" s="1445"/>
      <c r="Q95" s="1298"/>
      <c r="R95" s="1298"/>
      <c r="S95" s="330"/>
      <c r="T95" s="330"/>
      <c r="U95" s="330"/>
      <c r="V95" s="330"/>
      <c r="W95" s="1299"/>
      <c r="X95" s="1260"/>
      <c r="Y95" s="1260"/>
      <c r="Z95" s="1260"/>
      <c r="AA95" s="1260"/>
      <c r="AB95" s="1260"/>
      <c r="AC95" s="1260"/>
      <c r="AD95" s="1260"/>
      <c r="AE95" s="1260"/>
      <c r="AF95" s="1260"/>
      <c r="AG95" s="1260"/>
      <c r="AH95" s="1260"/>
      <c r="AI95" s="1260"/>
      <c r="AJ95" s="1260"/>
      <c r="AK95" s="1260"/>
      <c r="AL95" s="1260"/>
      <c r="AM95" s="1260"/>
      <c r="AN95" s="1260"/>
      <c r="AO95" s="1260"/>
      <c r="AP95" s="1260"/>
      <c r="AQ95" s="1260"/>
      <c r="AR95" s="1351">
        <v>0</v>
      </c>
    </row>
    <row s="1854" customFormat="1" customHeight="1" ht="17.25" hidden="1">
      <c r="A96" s="322"/>
      <c r="C96" s="321"/>
      <c r="D96" s="2137"/>
      <c r="E96" s="2145"/>
      <c r="F96" s="2147"/>
      <c r="G96" s="2145"/>
      <c r="H96" s="2150"/>
      <c r="I96" s="2152"/>
      <c r="J96" s="2155"/>
      <c r="K96" s="2139"/>
      <c r="L96" s="1298"/>
      <c r="M96" s="1298"/>
      <c r="N96" s="1298"/>
      <c r="O96" s="1298"/>
      <c r="P96" s="1298"/>
      <c r="Q96" s="1298"/>
      <c r="R96" s="1298"/>
      <c r="S96" s="330"/>
      <c r="T96" s="330"/>
      <c r="U96" s="330"/>
      <c r="V96" s="330"/>
      <c r="W96" s="1299"/>
      <c r="X96" s="1260"/>
      <c r="Y96" s="1260"/>
      <c r="Z96" s="1260"/>
      <c r="AA96" s="1260"/>
      <c r="AB96" s="1260"/>
      <c r="AC96" s="1260"/>
      <c r="AD96" s="1260"/>
      <c r="AE96" s="1260"/>
      <c r="AF96" s="1260"/>
      <c r="AG96" s="1260"/>
      <c r="AH96" s="1260"/>
      <c r="AI96" s="1260"/>
      <c r="AJ96" s="1260"/>
      <c r="AK96" s="1260"/>
      <c r="AL96" s="1260"/>
      <c r="AM96" s="1260"/>
      <c r="AN96" s="1260"/>
      <c r="AO96" s="1260"/>
      <c r="AP96" s="1260"/>
      <c r="AQ96" s="1260"/>
      <c r="AR96" s="1351">
        <v>0</v>
      </c>
    </row>
    <row s="1854" customFormat="1" customHeight="1" ht="17.25" hidden="1">
      <c r="A97" s="322"/>
      <c r="C97" s="321"/>
      <c r="D97" s="2137"/>
      <c r="E97" s="2145"/>
      <c r="F97" s="2148"/>
      <c r="G97" s="2145"/>
      <c r="H97" s="1300"/>
      <c r="I97" s="1301"/>
      <c r="J97" s="1301"/>
      <c r="K97" s="1301"/>
      <c r="L97" s="1301"/>
      <c r="M97" s="1301"/>
      <c r="N97" s="1301"/>
      <c r="O97" s="1301"/>
      <c r="P97" s="1301"/>
      <c r="Q97" s="1301"/>
      <c r="R97" s="1301"/>
      <c r="S97" s="1302"/>
      <c r="T97" s="1302"/>
      <c r="U97" s="1302"/>
      <c r="V97" s="1302"/>
      <c r="W97" s="1303"/>
      <c r="X97" s="1260"/>
      <c r="Y97" s="1260"/>
      <c r="Z97" s="1260"/>
      <c r="AA97" s="1260"/>
      <c r="AB97" s="1260"/>
      <c r="AC97" s="1260"/>
      <c r="AD97" s="1260"/>
      <c r="AE97" s="1260"/>
      <c r="AF97" s="1260"/>
      <c r="AG97" s="1260"/>
      <c r="AH97" s="1260"/>
      <c r="AI97" s="1260"/>
      <c r="AJ97" s="1260"/>
      <c r="AK97" s="1260"/>
      <c r="AL97" s="1260"/>
      <c r="AM97" s="1260"/>
      <c r="AN97" s="1260"/>
      <c r="AO97" s="1260"/>
      <c r="AP97" s="1260"/>
      <c r="AQ97" s="1260"/>
      <c r="AR97" s="1351">
        <v>0</v>
      </c>
    </row>
    <row s="1854" customFormat="1" customHeight="1" ht="17.25" hidden="1">
      <c r="A98" s="322"/>
      <c r="C98" s="210"/>
      <c r="D98" s="2136">
        <v>4</v>
      </c>
      <c r="E98" s="2144" t="s">
        <v>256</v>
      </c>
      <c r="F98" s="2146" t="s">
        <v>19</v>
      </c>
      <c r="G98" s="2144"/>
      <c r="H98" s="2149"/>
      <c r="I98" s="2151"/>
      <c r="J98" s="2153"/>
      <c r="K98" s="2138"/>
      <c r="L98" s="2138"/>
      <c r="M98" s="2138"/>
      <c r="N98" s="2140"/>
      <c r="O98" s="2138"/>
      <c r="P98" s="2138"/>
      <c r="Q98" s="2138"/>
      <c r="R98" s="2143"/>
      <c r="S98" s="2138"/>
      <c r="T98" s="1444"/>
      <c r="U98" s="1444"/>
      <c r="V98" s="1446"/>
      <c r="W98" s="1297"/>
      <c r="X98" s="1268"/>
      <c r="Y98" s="1268"/>
      <c r="Z98" s="1268"/>
      <c r="AA98" s="1268"/>
      <c r="AB98" s="1268"/>
      <c r="AC98" s="1268" t="s">
        <v>257</v>
      </c>
      <c r="AD98" s="1268" t="s">
        <v>258</v>
      </c>
      <c r="AE98" s="1268" t="s">
        <v>259</v>
      </c>
      <c r="AF98" s="1268" t="s">
        <v>260</v>
      </c>
      <c r="AG98" s="1268"/>
      <c r="AH98" s="1268" t="str">
        <f>IF($E$98=0,"",$E$98)</f>
        <v>Тариф на подвоз воды</v>
      </c>
      <c r="AI98" s="1268" t="str">
        <f>IF($G$98=0,"",$G$98)</f>
        <v/>
      </c>
      <c r="AJ98" s="1268" t="str">
        <f>IF($J$98=0,"",$J$98)</f>
        <v/>
      </c>
      <c r="AK98" s="1268" t="str">
        <f>IF($K$98="нет","без дифференциации",IF($N$98=0,"",$N$98))</f>
        <v/>
      </c>
      <c r="AL98" s="1268" t="str">
        <f>IF($O$98="нет","без дифференциации",IF($R$98=0,"",$R$98))</f>
        <v/>
      </c>
      <c r="AM98" s="1268" t="str">
        <f>IF($S$98="нет","без дифференциации",IF($V$98=0,"",$V$98))</f>
        <v/>
      </c>
      <c r="AN98" s="1773">
        <f>$I$98</f>
        <v>0</v>
      </c>
      <c r="AO98" s="1268" t="str">
        <f>$I$98&amp;"."&amp;$M$98</f>
        <v>.</v>
      </c>
      <c r="AP98" s="1260" t="str">
        <f>$I$98&amp;"."&amp;$M$98&amp;"."&amp;$Q$98</f>
        <v>..</v>
      </c>
      <c r="AQ98" s="1260" t="str">
        <f>$I$98&amp;"."&amp;$M$98&amp;"."&amp;$Q$98&amp;"."&amp;$U$98</f>
        <v>...</v>
      </c>
      <c r="AR98" s="1351">
        <v>0</v>
      </c>
    </row>
    <row s="1854" customFormat="1" customHeight="1" ht="17.25" hidden="1">
      <c r="A99" s="322"/>
      <c r="C99" s="321"/>
      <c r="D99" s="2136"/>
      <c r="E99" s="2144"/>
      <c r="F99" s="2147"/>
      <c r="G99" s="2144"/>
      <c r="H99" s="2150"/>
      <c r="I99" s="2152"/>
      <c r="J99" s="2154"/>
      <c r="K99" s="2139"/>
      <c r="L99" s="2139"/>
      <c r="M99" s="2139"/>
      <c r="N99" s="2141"/>
      <c r="O99" s="2139"/>
      <c r="P99" s="2139"/>
      <c r="Q99" s="2139"/>
      <c r="R99" s="2142"/>
      <c r="S99" s="2139"/>
      <c r="T99" s="1298"/>
      <c r="U99" s="1298"/>
      <c r="V99" s="1298"/>
      <c r="W99" s="1299"/>
      <c r="X99" s="1260"/>
      <c r="Y99" s="1260"/>
      <c r="Z99" s="1260"/>
      <c r="AA99" s="1260"/>
      <c r="AB99" s="1260"/>
      <c r="AC99" s="1260"/>
      <c r="AD99" s="1260"/>
      <c r="AE99" s="1260"/>
      <c r="AF99" s="1260"/>
      <c r="AG99" s="1260"/>
      <c r="AH99" s="1260"/>
      <c r="AI99" s="1260"/>
      <c r="AJ99" s="1260"/>
      <c r="AK99" s="1260"/>
      <c r="AL99" s="1260"/>
      <c r="AM99" s="1260"/>
      <c r="AN99" s="1260"/>
      <c r="AO99" s="1260"/>
      <c r="AP99" s="1260"/>
      <c r="AQ99" s="1260"/>
      <c r="AR99" s="1351">
        <v>0</v>
      </c>
    </row>
    <row s="1854" customFormat="1" customHeight="1" ht="17.25" hidden="1">
      <c r="A100" s="322"/>
      <c r="C100" s="321"/>
      <c r="D100" s="2137"/>
      <c r="E100" s="2145"/>
      <c r="F100" s="2147"/>
      <c r="G100" s="2145"/>
      <c r="H100" s="2150"/>
      <c r="I100" s="2152"/>
      <c r="J100" s="2155"/>
      <c r="K100" s="2139"/>
      <c r="L100" s="2139"/>
      <c r="M100" s="2139"/>
      <c r="N100" s="2142"/>
      <c r="O100" s="2139"/>
      <c r="P100" s="1445"/>
      <c r="Q100" s="1298"/>
      <c r="R100" s="1298"/>
      <c r="S100" s="330"/>
      <c r="T100" s="330"/>
      <c r="U100" s="330"/>
      <c r="V100" s="330"/>
      <c r="W100" s="1299"/>
      <c r="X100" s="1260"/>
      <c r="Y100" s="1260"/>
      <c r="Z100" s="1260"/>
      <c r="AA100" s="1260"/>
      <c r="AB100" s="1260"/>
      <c r="AC100" s="1260"/>
      <c r="AD100" s="1260"/>
      <c r="AE100" s="1260"/>
      <c r="AF100" s="1260"/>
      <c r="AG100" s="1260"/>
      <c r="AH100" s="1260"/>
      <c r="AI100" s="1260"/>
      <c r="AJ100" s="1260"/>
      <c r="AK100" s="1260"/>
      <c r="AL100" s="1260"/>
      <c r="AM100" s="1260"/>
      <c r="AN100" s="1260"/>
      <c r="AO100" s="1260"/>
      <c r="AP100" s="1260"/>
      <c r="AQ100" s="1260"/>
      <c r="AR100" s="1351">
        <v>0</v>
      </c>
    </row>
    <row s="1854" customFormat="1" customHeight="1" ht="17.25" hidden="1">
      <c r="A101" s="322"/>
      <c r="C101" s="321"/>
      <c r="D101" s="2137"/>
      <c r="E101" s="2145"/>
      <c r="F101" s="2147"/>
      <c r="G101" s="2145"/>
      <c r="H101" s="2150"/>
      <c r="I101" s="2152"/>
      <c r="J101" s="2155"/>
      <c r="K101" s="2139"/>
      <c r="L101" s="1298"/>
      <c r="M101" s="1298"/>
      <c r="N101" s="1298"/>
      <c r="O101" s="1298"/>
      <c r="P101" s="1298"/>
      <c r="Q101" s="1298"/>
      <c r="R101" s="1298"/>
      <c r="S101" s="330"/>
      <c r="T101" s="330"/>
      <c r="U101" s="330"/>
      <c r="V101" s="330"/>
      <c r="W101" s="1299"/>
      <c r="X101" s="1260"/>
      <c r="Y101" s="1260"/>
      <c r="Z101" s="1260"/>
      <c r="AA101" s="1260"/>
      <c r="AB101" s="1260"/>
      <c r="AC101" s="1260"/>
      <c r="AD101" s="1260"/>
      <c r="AE101" s="1260"/>
      <c r="AF101" s="1260"/>
      <c r="AG101" s="1260"/>
      <c r="AH101" s="1260"/>
      <c r="AI101" s="1260"/>
      <c r="AJ101" s="1260"/>
      <c r="AK101" s="1260"/>
      <c r="AL101" s="1260"/>
      <c r="AM101" s="1260"/>
      <c r="AN101" s="1260"/>
      <c r="AO101" s="1260"/>
      <c r="AP101" s="1260"/>
      <c r="AQ101" s="1260"/>
      <c r="AR101" s="1351">
        <v>0</v>
      </c>
    </row>
    <row s="1854" customFormat="1" customHeight="1" ht="17.25" hidden="1">
      <c r="A102" s="322"/>
      <c r="C102" s="321"/>
      <c r="D102" s="2137"/>
      <c r="E102" s="2145"/>
      <c r="F102" s="2148"/>
      <c r="G102" s="2145"/>
      <c r="H102" s="1300"/>
      <c r="I102" s="1301"/>
      <c r="J102" s="1301"/>
      <c r="K102" s="1301"/>
      <c r="L102" s="1301"/>
      <c r="M102" s="1301"/>
      <c r="N102" s="1301"/>
      <c r="O102" s="1301"/>
      <c r="P102" s="1301"/>
      <c r="Q102" s="1301"/>
      <c r="R102" s="1301"/>
      <c r="S102" s="1302"/>
      <c r="T102" s="1302"/>
      <c r="U102" s="1302"/>
      <c r="V102" s="1302"/>
      <c r="W102" s="1303"/>
      <c r="X102" s="1260"/>
      <c r="Y102" s="1260"/>
      <c r="Z102" s="1260"/>
      <c r="AA102" s="1260"/>
      <c r="AB102" s="1260"/>
      <c r="AC102" s="1260"/>
      <c r="AD102" s="1260"/>
      <c r="AE102" s="1260"/>
      <c r="AF102" s="1260"/>
      <c r="AG102" s="1260"/>
      <c r="AH102" s="1260"/>
      <c r="AI102" s="1260"/>
      <c r="AJ102" s="1260"/>
      <c r="AK102" s="1260"/>
      <c r="AL102" s="1260"/>
      <c r="AM102" s="1260"/>
      <c r="AN102" s="1260"/>
      <c r="AO102" s="1260"/>
      <c r="AP102" s="1260"/>
      <c r="AQ102" s="1260"/>
      <c r="AR102" s="1351">
        <v>0</v>
      </c>
    </row>
    <row s="1854" customFormat="1" customHeight="1" ht="17.25" hidden="1">
      <c r="A103" s="322"/>
      <c r="C103" s="210"/>
      <c r="D103" s="2136">
        <v>5</v>
      </c>
      <c r="E103" s="2144" t="s">
        <v>261</v>
      </c>
      <c r="F103" s="2146" t="s">
        <v>19</v>
      </c>
      <c r="G103" s="2144"/>
      <c r="H103" s="2149"/>
      <c r="I103" s="2151"/>
      <c r="J103" s="2153"/>
      <c r="K103" s="2138"/>
      <c r="L103" s="2138"/>
      <c r="M103" s="2138"/>
      <c r="N103" s="2140"/>
      <c r="O103" s="2138"/>
      <c r="P103" s="2138"/>
      <c r="Q103" s="2138"/>
      <c r="R103" s="2143"/>
      <c r="S103" s="2138"/>
      <c r="T103" s="1944"/>
      <c r="U103" s="1944"/>
      <c r="V103" s="1946"/>
      <c r="W103" s="1297"/>
      <c r="X103" s="1268"/>
      <c r="Y103" s="1268"/>
      <c r="Z103" s="1268"/>
      <c r="AA103" s="1268"/>
      <c r="AB103" s="1268"/>
      <c r="AC103" s="1268" t="s">
        <v>262</v>
      </c>
      <c r="AD103" s="1268" t="s">
        <v>263</v>
      </c>
      <c r="AE103" s="1268" t="s">
        <v>264</v>
      </c>
      <c r="AF103" s="1268" t="s">
        <v>265</v>
      </c>
      <c r="AG103" s="1268"/>
      <c r="AH103" s="1268" t="str">
        <f>IF($E$103=0,"",$E$103)</f>
        <v>Тариф на подключение (технологическое присоединение) к централизованной системе холодного водоснабжения</v>
      </c>
      <c r="AI103" s="1268" t="str">
        <f>IF($G$103=0,"",$G$103)</f>
        <v/>
      </c>
      <c r="AJ103" s="1268" t="str">
        <f>IF($J$103=0,"",$J$103)</f>
        <v/>
      </c>
      <c r="AK103" s="1268" t="str">
        <f>IF($K$103="нет","без дифференциации",IF($N$103=0,"",$N$103))</f>
        <v/>
      </c>
      <c r="AL103" s="1268" t="str">
        <f>IF($O$103="нет","без дифференциации",IF($R$103=0,"",$R$103))</f>
        <v/>
      </c>
      <c r="AM103" s="1268" t="str">
        <f>IF($S$103="нет","без дифференциации",IF($V$103=0,"",$V$103))</f>
        <v/>
      </c>
      <c r="AN103" s="1773">
        <f>$I$103</f>
        <v>0</v>
      </c>
      <c r="AO103" s="1268" t="str">
        <f>$I$103&amp;"."&amp;$M$103</f>
        <v>.</v>
      </c>
      <c r="AP103" s="1267" t="str">
        <f>$I$103&amp;"."&amp;$M$103&amp;"."&amp;$Q$103</f>
        <v>..</v>
      </c>
      <c r="AQ103" s="1267" t="str">
        <f>$I$103&amp;"."&amp;$M$103&amp;"."&amp;$Q$103&amp;"."&amp;$U$103</f>
        <v>...</v>
      </c>
      <c r="AR103" s="1468">
        <v>0</v>
      </c>
    </row>
    <row s="1854" customFormat="1" customHeight="1" ht="17.25" hidden="1">
      <c r="A104" s="322"/>
      <c r="C104" s="321"/>
      <c r="D104" s="2136"/>
      <c r="E104" s="2144"/>
      <c r="F104" s="2147"/>
      <c r="G104" s="2144"/>
      <c r="H104" s="2150"/>
      <c r="I104" s="2152"/>
      <c r="J104" s="2154"/>
      <c r="K104" s="2139"/>
      <c r="L104" s="2139"/>
      <c r="M104" s="2139"/>
      <c r="N104" s="2141"/>
      <c r="O104" s="2139"/>
      <c r="P104" s="2139"/>
      <c r="Q104" s="2139"/>
      <c r="R104" s="2142"/>
      <c r="S104" s="2139"/>
      <c r="T104" s="1949"/>
      <c r="U104" s="1949"/>
      <c r="V104" s="1949"/>
      <c r="W104" s="1950"/>
      <c r="X104" s="1267"/>
      <c r="Y104" s="1267"/>
      <c r="Z104" s="1267"/>
      <c r="AA104" s="1267"/>
      <c r="AB104" s="1267"/>
      <c r="AC104" s="1267"/>
      <c r="AD104" s="1267"/>
      <c r="AE104" s="1267"/>
      <c r="AF104" s="1267"/>
      <c r="AG104" s="1267"/>
      <c r="AH104" s="1267"/>
      <c r="AI104" s="1267"/>
      <c r="AJ104" s="1267"/>
      <c r="AK104" s="1267"/>
      <c r="AL104" s="1267"/>
      <c r="AM104" s="1267"/>
      <c r="AN104" s="1267"/>
      <c r="AO104" s="1267"/>
      <c r="AP104" s="1267"/>
      <c r="AQ104" s="1267"/>
      <c r="AR104" s="1468">
        <v>0</v>
      </c>
    </row>
    <row s="1854" customFormat="1" customHeight="1" ht="17.25" hidden="1">
      <c r="A105" s="322"/>
      <c r="C105" s="321"/>
      <c r="D105" s="2137"/>
      <c r="E105" s="2145"/>
      <c r="F105" s="2147"/>
      <c r="G105" s="2145"/>
      <c r="H105" s="2150"/>
      <c r="I105" s="2152"/>
      <c r="J105" s="2155"/>
      <c r="K105" s="2139"/>
      <c r="L105" s="2139"/>
      <c r="M105" s="2139"/>
      <c r="N105" s="2142"/>
      <c r="O105" s="2139"/>
      <c r="P105" s="1945"/>
      <c r="Q105" s="1949"/>
      <c r="R105" s="1949"/>
      <c r="S105" s="330"/>
      <c r="T105" s="330"/>
      <c r="U105" s="330"/>
      <c r="V105" s="330"/>
      <c r="W105" s="1950"/>
      <c r="X105" s="1267"/>
      <c r="Y105" s="1267"/>
      <c r="Z105" s="1267"/>
      <c r="AA105" s="1267"/>
      <c r="AB105" s="1267"/>
      <c r="AC105" s="1267"/>
      <c r="AD105" s="1267"/>
      <c r="AE105" s="1267"/>
      <c r="AF105" s="1267"/>
      <c r="AG105" s="1267"/>
      <c r="AH105" s="1267"/>
      <c r="AI105" s="1267"/>
      <c r="AJ105" s="1267"/>
      <c r="AK105" s="1267"/>
      <c r="AL105" s="1267"/>
      <c r="AM105" s="1267"/>
      <c r="AN105" s="1267"/>
      <c r="AO105" s="1267"/>
      <c r="AP105" s="1267"/>
      <c r="AQ105" s="1267"/>
      <c r="AR105" s="1468">
        <v>0</v>
      </c>
    </row>
    <row s="1854" customFormat="1" customHeight="1" ht="17.25" hidden="1">
      <c r="A106" s="322"/>
      <c r="C106" s="321"/>
      <c r="D106" s="2137"/>
      <c r="E106" s="2145"/>
      <c r="F106" s="2147"/>
      <c r="G106" s="2145"/>
      <c r="H106" s="2150"/>
      <c r="I106" s="2152"/>
      <c r="J106" s="2155"/>
      <c r="K106" s="2139"/>
      <c r="L106" s="1949"/>
      <c r="M106" s="1949"/>
      <c r="N106" s="1949"/>
      <c r="O106" s="1949"/>
      <c r="P106" s="1949"/>
      <c r="Q106" s="1949"/>
      <c r="R106" s="1949"/>
      <c r="S106" s="330"/>
      <c r="T106" s="330"/>
      <c r="U106" s="330"/>
      <c r="V106" s="330"/>
      <c r="W106" s="1950"/>
      <c r="X106" s="1267"/>
      <c r="Y106" s="1267"/>
      <c r="Z106" s="1267"/>
      <c r="AA106" s="1267"/>
      <c r="AB106" s="1267"/>
      <c r="AC106" s="1267"/>
      <c r="AD106" s="1267"/>
      <c r="AE106" s="1267"/>
      <c r="AF106" s="1267"/>
      <c r="AG106" s="1267"/>
      <c r="AH106" s="1267"/>
      <c r="AI106" s="1267"/>
      <c r="AJ106" s="1267"/>
      <c r="AK106" s="1267"/>
      <c r="AL106" s="1267"/>
      <c r="AM106" s="1267"/>
      <c r="AN106" s="1267"/>
      <c r="AO106" s="1267"/>
      <c r="AP106" s="1267"/>
      <c r="AQ106" s="1267"/>
      <c r="AR106" s="1468">
        <v>0</v>
      </c>
    </row>
    <row s="1854" customFormat="1" customHeight="1" ht="17.25" hidden="1">
      <c r="A107" s="322"/>
      <c r="C107" s="321"/>
      <c r="D107" s="2137"/>
      <c r="E107" s="2145"/>
      <c r="F107" s="2148"/>
      <c r="G107" s="2145"/>
      <c r="H107" s="1300"/>
      <c r="I107" s="1947"/>
      <c r="J107" s="1947"/>
      <c r="K107" s="1947"/>
      <c r="L107" s="1947"/>
      <c r="M107" s="1947"/>
      <c r="N107" s="1947"/>
      <c r="O107" s="1947"/>
      <c r="P107" s="1947"/>
      <c r="Q107" s="1947"/>
      <c r="R107" s="1947"/>
      <c r="S107" s="1302"/>
      <c r="T107" s="1302"/>
      <c r="U107" s="1302"/>
      <c r="V107" s="1302"/>
      <c r="W107" s="1948"/>
      <c r="X107" s="1267"/>
      <c r="Y107" s="1267"/>
      <c r="Z107" s="1267"/>
      <c r="AA107" s="1267"/>
      <c r="AB107" s="1267"/>
      <c r="AC107" s="1267"/>
      <c r="AD107" s="1267"/>
      <c r="AE107" s="1267"/>
      <c r="AF107" s="1267"/>
      <c r="AG107" s="1267"/>
      <c r="AH107" s="1267"/>
      <c r="AI107" s="1267"/>
      <c r="AJ107" s="1267"/>
      <c r="AK107" s="1267"/>
      <c r="AL107" s="1267"/>
      <c r="AM107" s="1267"/>
      <c r="AN107" s="1267"/>
      <c r="AO107" s="1267"/>
      <c r="AP107" s="1267"/>
      <c r="AQ107" s="1267"/>
      <c r="AR107" s="1468">
        <v>0</v>
      </c>
    </row>
    <row s="1854" customFormat="1" customHeight="1" ht="11.25" hidden="1">
      <c r="A108" s="278"/>
      <c r="B108" s="278"/>
      <c r="Y108" s="1260"/>
      <c r="Z108" s="1260"/>
      <c r="AA108" s="1260"/>
      <c r="AB108" s="1260"/>
      <c r="AC108" s="1260"/>
      <c r="AD108" s="1260"/>
      <c r="AE108" s="1260"/>
      <c r="AF108" s="1260"/>
      <c r="AG108" s="1260"/>
      <c r="AH108" s="1260"/>
      <c r="AI108" s="1260"/>
      <c r="AJ108" s="1260"/>
      <c r="AK108" s="1260"/>
      <c r="AL108" s="1260"/>
      <c r="AM108" s="1260"/>
      <c r="AN108" s="1260"/>
      <c r="AO108" s="1260"/>
      <c r="AP108" s="1260"/>
      <c r="AQ108" s="1260"/>
      <c r="AR108" s="1468">
        <v>0</v>
      </c>
    </row>
    <row s="1854" customFormat="1" customHeight="1" ht="17.25" hidden="1">
      <c r="A109" s="322"/>
      <c r="C109" s="210"/>
      <c r="D109" s="2136">
        <v>1</v>
      </c>
      <c r="E109" s="2144" t="s">
        <v>266</v>
      </c>
      <c r="F109" s="2146" t="s">
        <v>19</v>
      </c>
      <c r="G109" s="2144"/>
      <c r="H109" s="2149"/>
      <c r="I109" s="2151"/>
      <c r="J109" s="2153"/>
      <c r="K109" s="2138"/>
      <c r="L109" s="2138"/>
      <c r="M109" s="2138"/>
      <c r="N109" s="2140"/>
      <c r="O109" s="2138"/>
      <c r="P109" s="2138"/>
      <c r="Q109" s="2138"/>
      <c r="R109" s="2143"/>
      <c r="S109" s="2138"/>
      <c r="T109" s="1471"/>
      <c r="U109" s="1471"/>
      <c r="V109" s="1473"/>
      <c r="W109" s="1297"/>
      <c r="Y109" s="1268"/>
      <c r="Z109" s="1268"/>
      <c r="AA109" s="1268"/>
      <c r="AB109" s="1268"/>
      <c r="AC109" s="1268" t="s">
        <v>267</v>
      </c>
      <c r="AD109" s="1268" t="s">
        <v>268</v>
      </c>
      <c r="AE109" s="1268" t="s">
        <v>269</v>
      </c>
      <c r="AF109" s="1268" t="s">
        <v>270</v>
      </c>
      <c r="AG109" s="1268"/>
      <c r="AH109" s="1268" t="str">
        <f>IF($E$109=0,"",$E$109)</f>
        <v>Тариф на горячую воду (горячее водоснабжение)</v>
      </c>
      <c r="AI109" s="1268" t="str">
        <f>IF($G$109=0,"",$G$109)</f>
        <v/>
      </c>
      <c r="AJ109" s="1268" t="str">
        <f>IF($J$109=0,"",$J$109)</f>
        <v/>
      </c>
      <c r="AK109" s="1268" t="str">
        <f>IF($K$109="нет","без дифференциации",IF($N$109=0,"",$N$109))</f>
        <v/>
      </c>
      <c r="AL109" s="1268" t="str">
        <f>IF($O$109="нет","без дифференциации",IF($R$109=0,"",$R$109))</f>
        <v/>
      </c>
      <c r="AM109" s="1268" t="str">
        <f>IF($S$109="нет","без дифференциации",IF($V$109=0,"",$V$109))</f>
        <v/>
      </c>
      <c r="AN109" s="1268">
        <f>$I$109</f>
        <v>0</v>
      </c>
      <c r="AO109" s="1268" t="str">
        <f>$I$109&amp;"."&amp;$M$109</f>
        <v>.</v>
      </c>
      <c r="AP109" s="1268" t="str">
        <f>$I$109&amp;"."&amp;$M$109&amp;"."&amp;$Q$109</f>
        <v>..</v>
      </c>
      <c r="AQ109" s="1268" t="str">
        <f>$I$109&amp;"."&amp;$M$109&amp;"."&amp;$Q$109&amp;"."&amp;$U$109</f>
        <v>...</v>
      </c>
      <c r="AR109" s="1468">
        <v>0</v>
      </c>
    </row>
    <row s="1854" customFormat="1" customHeight="1" ht="17.25" hidden="1">
      <c r="A110" s="322"/>
      <c r="C110" s="321"/>
      <c r="D110" s="2136"/>
      <c r="E110" s="2144"/>
      <c r="F110" s="2147"/>
      <c r="G110" s="2144"/>
      <c r="H110" s="2150"/>
      <c r="I110" s="2152"/>
      <c r="J110" s="2154"/>
      <c r="K110" s="2139"/>
      <c r="L110" s="2139"/>
      <c r="M110" s="2139"/>
      <c r="N110" s="2141"/>
      <c r="O110" s="2139"/>
      <c r="P110" s="2139"/>
      <c r="Q110" s="2139"/>
      <c r="R110" s="2142"/>
      <c r="S110" s="2139"/>
      <c r="T110" s="1298"/>
      <c r="U110" s="1298"/>
      <c r="V110" s="1298"/>
      <c r="W110" s="1299"/>
      <c r="Y110" s="1260"/>
      <c r="Z110" s="1260"/>
      <c r="AA110" s="1260"/>
      <c r="AB110" s="1260"/>
      <c r="AC110" s="1260"/>
      <c r="AD110" s="1260"/>
      <c r="AE110" s="1260"/>
      <c r="AF110" s="1260"/>
      <c r="AG110" s="1260"/>
      <c r="AH110" s="1260"/>
      <c r="AI110" s="1260"/>
      <c r="AJ110" s="1260"/>
      <c r="AK110" s="1260"/>
      <c r="AL110" s="1260"/>
      <c r="AM110" s="1260"/>
      <c r="AN110" s="1260"/>
      <c r="AO110" s="1260"/>
      <c r="AP110" s="1260"/>
      <c r="AQ110" s="1260"/>
      <c r="AR110" s="1468">
        <v>0</v>
      </c>
    </row>
    <row s="1854" customFormat="1" customHeight="1" ht="17.25" hidden="1">
      <c r="A111" s="322"/>
      <c r="C111" s="210"/>
      <c r="D111" s="2136"/>
      <c r="E111" s="2144"/>
      <c r="F111" s="2147"/>
      <c r="G111" s="2144"/>
      <c r="H111" s="2150"/>
      <c r="I111" s="2152"/>
      <c r="J111" s="2155"/>
      <c r="K111" s="2139"/>
      <c r="L111" s="2139"/>
      <c r="M111" s="2139"/>
      <c r="N111" s="2142"/>
      <c r="O111" s="2139"/>
      <c r="P111" s="1472"/>
      <c r="Q111" s="1298"/>
      <c r="R111" s="1298"/>
      <c r="S111" s="330"/>
      <c r="T111" s="330"/>
      <c r="U111" s="330"/>
      <c r="V111" s="330"/>
      <c r="W111" s="1299"/>
      <c r="Y111" s="1268"/>
      <c r="Z111" s="1268"/>
      <c r="AA111" s="1268"/>
      <c r="AB111" s="1268"/>
      <c r="AC111" s="1268"/>
      <c r="AD111" s="1268"/>
      <c r="AE111" s="1268"/>
      <c r="AF111" s="1268"/>
      <c r="AG111" s="1268"/>
      <c r="AH111" s="1268"/>
      <c r="AI111" s="1268"/>
      <c r="AJ111" s="1268"/>
      <c r="AK111" s="1268"/>
      <c r="AL111" s="1268"/>
      <c r="AM111" s="1268"/>
      <c r="AN111" s="1268"/>
      <c r="AO111" s="1268"/>
      <c r="AP111" s="1268"/>
      <c r="AQ111" s="1268"/>
      <c r="AR111" s="1468">
        <v>0</v>
      </c>
    </row>
    <row s="1854" customFormat="1" customHeight="1" ht="17.25" hidden="1">
      <c r="A112" s="322"/>
      <c r="C112" s="321"/>
      <c r="D112" s="2136"/>
      <c r="E112" s="2144"/>
      <c r="F112" s="2147"/>
      <c r="G112" s="2144"/>
      <c r="H112" s="2150"/>
      <c r="I112" s="2152"/>
      <c r="J112" s="2155"/>
      <c r="K112" s="2139"/>
      <c r="L112" s="1298"/>
      <c r="M112" s="1298"/>
      <c r="N112" s="1298"/>
      <c r="O112" s="1298"/>
      <c r="P112" s="1298"/>
      <c r="Q112" s="1298"/>
      <c r="R112" s="1298"/>
      <c r="S112" s="330"/>
      <c r="T112" s="330"/>
      <c r="U112" s="330"/>
      <c r="V112" s="330"/>
      <c r="W112" s="1299"/>
      <c r="Y112" s="1260"/>
      <c r="Z112" s="1260"/>
      <c r="AA112" s="1260"/>
      <c r="AB112" s="1260"/>
      <c r="AC112" s="1260"/>
      <c r="AD112" s="1260"/>
      <c r="AE112" s="1260"/>
      <c r="AF112" s="1260"/>
      <c r="AG112" s="1260"/>
      <c r="AH112" s="1260"/>
      <c r="AI112" s="1260"/>
      <c r="AJ112" s="1260"/>
      <c r="AK112" s="1260"/>
      <c r="AL112" s="1260"/>
      <c r="AM112" s="1260"/>
      <c r="AN112" s="1260"/>
      <c r="AO112" s="1260"/>
      <c r="AP112" s="1260"/>
      <c r="AQ112" s="1260"/>
      <c r="AR112" s="1468">
        <v>0</v>
      </c>
    </row>
    <row s="1854" customFormat="1" customHeight="1" ht="17.25" hidden="1">
      <c r="A113" s="322"/>
      <c r="C113" s="321"/>
      <c r="D113" s="2137"/>
      <c r="E113" s="2145"/>
      <c r="F113" s="2148"/>
      <c r="G113" s="2145"/>
      <c r="H113" s="1300"/>
      <c r="I113" s="1301"/>
      <c r="J113" s="1301"/>
      <c r="K113" s="1301"/>
      <c r="L113" s="1301"/>
      <c r="M113" s="1301"/>
      <c r="N113" s="1301"/>
      <c r="O113" s="1301"/>
      <c r="P113" s="1301"/>
      <c r="Q113" s="1301"/>
      <c r="R113" s="1301"/>
      <c r="S113" s="1302"/>
      <c r="T113" s="1302"/>
      <c r="U113" s="1302"/>
      <c r="V113" s="1302"/>
      <c r="W113" s="1303"/>
      <c r="Y113" s="1260"/>
      <c r="Z113" s="1260"/>
      <c r="AA113" s="1260"/>
      <c r="AB113" s="1260"/>
      <c r="AC113" s="1260"/>
      <c r="AD113" s="1260"/>
      <c r="AE113" s="1260"/>
      <c r="AF113" s="1260"/>
      <c r="AG113" s="1260"/>
      <c r="AH113" s="1260"/>
      <c r="AI113" s="1260"/>
      <c r="AJ113" s="1260"/>
      <c r="AK113" s="1260"/>
      <c r="AL113" s="1260"/>
      <c r="AM113" s="1260"/>
      <c r="AN113" s="1260"/>
      <c r="AO113" s="1260"/>
      <c r="AP113" s="1260"/>
      <c r="AQ113" s="1260"/>
      <c r="AR113" s="1468">
        <v>0</v>
      </c>
    </row>
    <row s="1854" customFormat="1" customHeight="1" ht="17.25" hidden="1">
      <c r="A114" s="322"/>
      <c r="C114" s="210"/>
      <c r="D114" s="2136">
        <v>2</v>
      </c>
      <c r="E114" s="2144" t="s">
        <v>271</v>
      </c>
      <c r="F114" s="2146" t="s">
        <v>19</v>
      </c>
      <c r="G114" s="2144"/>
      <c r="H114" s="2149"/>
      <c r="I114" s="2151"/>
      <c r="J114" s="2153"/>
      <c r="K114" s="2138"/>
      <c r="L114" s="2138"/>
      <c r="M114" s="2138"/>
      <c r="N114" s="2140"/>
      <c r="O114" s="2138"/>
      <c r="P114" s="2138"/>
      <c r="Q114" s="2138"/>
      <c r="R114" s="2143"/>
      <c r="S114" s="2138"/>
      <c r="T114" s="1471"/>
      <c r="U114" s="1471"/>
      <c r="V114" s="1473"/>
      <c r="W114" s="1297"/>
      <c r="X114" s="1268"/>
      <c r="Y114" s="1268"/>
      <c r="Z114" s="1268"/>
      <c r="AA114" s="1268"/>
      <c r="AB114" s="1268"/>
      <c r="AC114" s="1268" t="s">
        <v>272</v>
      </c>
      <c r="AD114" s="1268" t="s">
        <v>273</v>
      </c>
      <c r="AE114" s="1268" t="s">
        <v>274</v>
      </c>
      <c r="AF114" s="1268" t="s">
        <v>275</v>
      </c>
      <c r="AG114" s="1268"/>
      <c r="AH114" s="1268" t="str">
        <f>IF($E$114=0,"",$E$114)</f>
        <v>Тариф на транспортировку горячей воды</v>
      </c>
      <c r="AI114" s="1268" t="str">
        <f>IF($G$114=0,"",$G$114)</f>
        <v/>
      </c>
      <c r="AJ114" s="1268" t="str">
        <f>IF($J$114=0,"",$J$114)</f>
        <v/>
      </c>
      <c r="AK114" s="1268" t="str">
        <f>IF($K$114="нет","без дифференциации",IF($N$114=0,"",$N$114))</f>
        <v/>
      </c>
      <c r="AL114" s="1268" t="str">
        <f>IF($O$114="нет","без дифференциации",IF($R$114=0,"",$R$114))</f>
        <v/>
      </c>
      <c r="AM114" s="1268" t="str">
        <f>IF($S$114="нет","без дифференциации",IF($V$114=0,"",$V$114))</f>
        <v/>
      </c>
      <c r="AN114" s="1773">
        <f>$I$114</f>
        <v>0</v>
      </c>
      <c r="AO114" s="1268" t="str">
        <f>$I$114&amp;"."&amp;$M$114</f>
        <v>.</v>
      </c>
      <c r="AP114" s="1260" t="str">
        <f>$I$114&amp;"."&amp;$M$114&amp;"."&amp;$Q$114</f>
        <v>..</v>
      </c>
      <c r="AQ114" s="1260" t="str">
        <f>$I$114&amp;"."&amp;$M$114&amp;"."&amp;$Q$114&amp;"."&amp;$U$114</f>
        <v>...</v>
      </c>
      <c r="AR114" s="1468">
        <v>0</v>
      </c>
    </row>
    <row s="1854" customFormat="1" customHeight="1" ht="17.25" hidden="1">
      <c r="A115" s="322"/>
      <c r="C115" s="321"/>
      <c r="D115" s="2136"/>
      <c r="E115" s="2144"/>
      <c r="F115" s="2147"/>
      <c r="G115" s="2144"/>
      <c r="H115" s="2150"/>
      <c r="I115" s="2152"/>
      <c r="J115" s="2154"/>
      <c r="K115" s="2139"/>
      <c r="L115" s="2139"/>
      <c r="M115" s="2139"/>
      <c r="N115" s="2141"/>
      <c r="O115" s="2139"/>
      <c r="P115" s="2139"/>
      <c r="Q115" s="2139"/>
      <c r="R115" s="2142"/>
      <c r="S115" s="2139"/>
      <c r="T115" s="1298"/>
      <c r="U115" s="1298"/>
      <c r="V115" s="1298"/>
      <c r="W115" s="1299"/>
      <c r="X115" s="1260"/>
      <c r="Y115" s="1260"/>
      <c r="Z115" s="1260"/>
      <c r="AA115" s="1260"/>
      <c r="AB115" s="1260"/>
      <c r="AC115" s="1260"/>
      <c r="AD115" s="1260"/>
      <c r="AE115" s="1260"/>
      <c r="AF115" s="1260"/>
      <c r="AG115" s="1260"/>
      <c r="AH115" s="1260"/>
      <c r="AI115" s="1260"/>
      <c r="AJ115" s="1260"/>
      <c r="AK115" s="1260"/>
      <c r="AL115" s="1260"/>
      <c r="AM115" s="1260"/>
      <c r="AN115" s="1260"/>
      <c r="AO115" s="1260"/>
      <c r="AP115" s="1260"/>
      <c r="AQ115" s="1260"/>
      <c r="AR115" s="1468">
        <v>0</v>
      </c>
    </row>
    <row s="1854" customFormat="1" customHeight="1" ht="17.25" hidden="1">
      <c r="A116" s="322"/>
      <c r="C116" s="321"/>
      <c r="D116" s="2137"/>
      <c r="E116" s="2145"/>
      <c r="F116" s="2147"/>
      <c r="G116" s="2145"/>
      <c r="H116" s="2150"/>
      <c r="I116" s="2152"/>
      <c r="J116" s="2155"/>
      <c r="K116" s="2139"/>
      <c r="L116" s="2139"/>
      <c r="M116" s="2139"/>
      <c r="N116" s="2142"/>
      <c r="O116" s="2139"/>
      <c r="P116" s="1472"/>
      <c r="Q116" s="1298"/>
      <c r="R116" s="1298"/>
      <c r="S116" s="330"/>
      <c r="T116" s="330"/>
      <c r="U116" s="330"/>
      <c r="V116" s="330"/>
      <c r="W116" s="1299"/>
      <c r="X116" s="1260"/>
      <c r="Y116" s="1260"/>
      <c r="Z116" s="1260"/>
      <c r="AA116" s="1260"/>
      <c r="AB116" s="1260"/>
      <c r="AC116" s="1260"/>
      <c r="AD116" s="1260"/>
      <c r="AE116" s="1260"/>
      <c r="AF116" s="1260"/>
      <c r="AG116" s="1260"/>
      <c r="AH116" s="1260"/>
      <c r="AI116" s="1260"/>
      <c r="AJ116" s="1260"/>
      <c r="AK116" s="1260"/>
      <c r="AL116" s="1260"/>
      <c r="AM116" s="1260"/>
      <c r="AN116" s="1260"/>
      <c r="AO116" s="1260"/>
      <c r="AP116" s="1260"/>
      <c r="AQ116" s="1260"/>
      <c r="AR116" s="1468">
        <v>0</v>
      </c>
    </row>
    <row s="1854" customFormat="1" customHeight="1" ht="17.25" hidden="1">
      <c r="A117" s="322"/>
      <c r="C117" s="321"/>
      <c r="D117" s="2137"/>
      <c r="E117" s="2145"/>
      <c r="F117" s="2147"/>
      <c r="G117" s="2145"/>
      <c r="H117" s="2150"/>
      <c r="I117" s="2152"/>
      <c r="J117" s="2155"/>
      <c r="K117" s="2139"/>
      <c r="L117" s="1298"/>
      <c r="M117" s="1298"/>
      <c r="N117" s="1298"/>
      <c r="O117" s="1298"/>
      <c r="P117" s="1298"/>
      <c r="Q117" s="1298"/>
      <c r="R117" s="1298"/>
      <c r="S117" s="330"/>
      <c r="T117" s="330"/>
      <c r="U117" s="330"/>
      <c r="V117" s="330"/>
      <c r="W117" s="1299"/>
      <c r="X117" s="1260"/>
      <c r="Y117" s="1260"/>
      <c r="Z117" s="1260"/>
      <c r="AA117" s="1260"/>
      <c r="AB117" s="1260"/>
      <c r="AC117" s="1260"/>
      <c r="AD117" s="1260"/>
      <c r="AE117" s="1260"/>
      <c r="AF117" s="1260"/>
      <c r="AG117" s="1260"/>
      <c r="AH117" s="1260"/>
      <c r="AI117" s="1260"/>
      <c r="AJ117" s="1260"/>
      <c r="AK117" s="1260"/>
      <c r="AL117" s="1260"/>
      <c r="AM117" s="1260"/>
      <c r="AN117" s="1260"/>
      <c r="AO117" s="1260"/>
      <c r="AP117" s="1260"/>
      <c r="AQ117" s="1260"/>
      <c r="AR117" s="1468">
        <v>0</v>
      </c>
    </row>
    <row s="1854" customFormat="1" customHeight="1" ht="17.25" hidden="1">
      <c r="A118" s="322"/>
      <c r="C118" s="321"/>
      <c r="D118" s="2137"/>
      <c r="E118" s="2145"/>
      <c r="F118" s="2148"/>
      <c r="G118" s="2145"/>
      <c r="H118" s="1300"/>
      <c r="I118" s="1301"/>
      <c r="J118" s="1301"/>
      <c r="K118" s="1301"/>
      <c r="L118" s="1301"/>
      <c r="M118" s="1301"/>
      <c r="N118" s="1301"/>
      <c r="O118" s="1301"/>
      <c r="P118" s="1301"/>
      <c r="Q118" s="1301"/>
      <c r="R118" s="1301"/>
      <c r="S118" s="1302"/>
      <c r="T118" s="1302"/>
      <c r="U118" s="1302"/>
      <c r="V118" s="1302"/>
      <c r="W118" s="1303"/>
      <c r="X118" s="1260"/>
      <c r="Y118" s="1260"/>
      <c r="Z118" s="1260"/>
      <c r="AA118" s="1260"/>
      <c r="AB118" s="1260"/>
      <c r="AC118" s="1260"/>
      <c r="AD118" s="1260"/>
      <c r="AE118" s="1260"/>
      <c r="AF118" s="1260"/>
      <c r="AG118" s="1260"/>
      <c r="AH118" s="1260"/>
      <c r="AI118" s="1260"/>
      <c r="AJ118" s="1260"/>
      <c r="AK118" s="1260"/>
      <c r="AL118" s="1260"/>
      <c r="AM118" s="1260"/>
      <c r="AN118" s="1260"/>
      <c r="AO118" s="1260"/>
      <c r="AP118" s="1260"/>
      <c r="AQ118" s="1260"/>
      <c r="AR118" s="1468">
        <v>0</v>
      </c>
    </row>
    <row s="1854" customFormat="1" customHeight="1" ht="17.25" hidden="1">
      <c r="A119" s="322"/>
      <c r="C119" s="210"/>
      <c r="D119" s="2136">
        <v>3</v>
      </c>
      <c r="E119" s="2144" t="s">
        <v>276</v>
      </c>
      <c r="F119" s="2146" t="s">
        <v>19</v>
      </c>
      <c r="G119" s="2144"/>
      <c r="H119" s="2149"/>
      <c r="I119" s="2151"/>
      <c r="J119" s="2153"/>
      <c r="K119" s="2138"/>
      <c r="L119" s="2138"/>
      <c r="M119" s="2138"/>
      <c r="N119" s="2140"/>
      <c r="O119" s="2138"/>
      <c r="P119" s="2138"/>
      <c r="Q119" s="2138"/>
      <c r="R119" s="2143"/>
      <c r="S119" s="2138"/>
      <c r="T119" s="1944"/>
      <c r="U119" s="1944"/>
      <c r="V119" s="1946"/>
      <c r="W119" s="1297"/>
      <c r="X119" s="1268"/>
      <c r="Y119" s="1268"/>
      <c r="Z119" s="1268"/>
      <c r="AA119" s="1268"/>
      <c r="AB119" s="1268"/>
      <c r="AC119" s="1268" t="s">
        <v>277</v>
      </c>
      <c r="AD119" s="1268" t="s">
        <v>278</v>
      </c>
      <c r="AE119" s="1268" t="s">
        <v>279</v>
      </c>
      <c r="AF119" s="1268" t="s">
        <v>280</v>
      </c>
      <c r="AG119" s="1268"/>
      <c r="AH119" s="1268" t="str">
        <f>IF($E$119=0,"",$E$119)</f>
        <v>Тариф на подключение (технологическое присоединение) к централизованной системе горячего водоснабжения</v>
      </c>
      <c r="AI119" s="1268" t="str">
        <f>IF($G$119=0,"",$G$119)</f>
        <v/>
      </c>
      <c r="AJ119" s="1268" t="str">
        <f>IF($J$119=0,"",$J$119)</f>
        <v/>
      </c>
      <c r="AK119" s="1268" t="str">
        <f>IF($K$119="нет","без дифференциации",IF($N$119=0,"",$N$119))</f>
        <v/>
      </c>
      <c r="AL119" s="1268" t="str">
        <f>IF($O$119="нет","без дифференциации",IF($R$119=0,"",$R$119))</f>
        <v/>
      </c>
      <c r="AM119" s="1268" t="str">
        <f>IF($S$119="нет","без дифференциации",IF($V$119=0,"",$V$119))</f>
        <v/>
      </c>
      <c r="AN119" s="1773">
        <f>$I$119</f>
        <v>0</v>
      </c>
      <c r="AO119" s="1268" t="str">
        <f>$I$119&amp;"."&amp;$M$119</f>
        <v>.</v>
      </c>
      <c r="AP119" s="1267" t="str">
        <f>$I$119&amp;"."&amp;$M$119&amp;"."&amp;$Q$119</f>
        <v>..</v>
      </c>
      <c r="AQ119" s="1267" t="str">
        <f>$I$119&amp;"."&amp;$M$119&amp;"."&amp;$Q$119&amp;"."&amp;$U$119</f>
        <v>...</v>
      </c>
      <c r="AR119" s="1468">
        <v>0</v>
      </c>
    </row>
    <row s="1854" customFormat="1" customHeight="1" ht="17.25" hidden="1">
      <c r="A120" s="322"/>
      <c r="C120" s="321"/>
      <c r="D120" s="2136"/>
      <c r="E120" s="2144"/>
      <c r="F120" s="2147"/>
      <c r="G120" s="2144"/>
      <c r="H120" s="2150"/>
      <c r="I120" s="2152"/>
      <c r="J120" s="2154"/>
      <c r="K120" s="2139"/>
      <c r="L120" s="2139"/>
      <c r="M120" s="2139"/>
      <c r="N120" s="2141"/>
      <c r="O120" s="2139"/>
      <c r="P120" s="2139"/>
      <c r="Q120" s="2139"/>
      <c r="R120" s="2142"/>
      <c r="S120" s="2139"/>
      <c r="T120" s="1949"/>
      <c r="U120" s="1949"/>
      <c r="V120" s="1949"/>
      <c r="W120" s="1950"/>
      <c r="X120" s="1267"/>
      <c r="Y120" s="1267"/>
      <c r="Z120" s="1267"/>
      <c r="AA120" s="1267"/>
      <c r="AB120" s="1267"/>
      <c r="AC120" s="1267"/>
      <c r="AD120" s="1267"/>
      <c r="AE120" s="1267"/>
      <c r="AF120" s="1267"/>
      <c r="AG120" s="1267"/>
      <c r="AH120" s="1267"/>
      <c r="AI120" s="1267"/>
      <c r="AJ120" s="1267"/>
      <c r="AK120" s="1267"/>
      <c r="AL120" s="1267"/>
      <c r="AM120" s="1267"/>
      <c r="AN120" s="1267"/>
      <c r="AO120" s="1267"/>
      <c r="AP120" s="1267"/>
      <c r="AQ120" s="1267"/>
      <c r="AR120" s="1468">
        <v>0</v>
      </c>
    </row>
    <row s="1854" customFormat="1" customHeight="1" ht="17.25" hidden="1">
      <c r="A121" s="322"/>
      <c r="C121" s="321"/>
      <c r="D121" s="2137"/>
      <c r="E121" s="2145"/>
      <c r="F121" s="2147"/>
      <c r="G121" s="2145"/>
      <c r="H121" s="2150"/>
      <c r="I121" s="2152"/>
      <c r="J121" s="2155"/>
      <c r="K121" s="2139"/>
      <c r="L121" s="2139"/>
      <c r="M121" s="2139"/>
      <c r="N121" s="2142"/>
      <c r="O121" s="2139"/>
      <c r="P121" s="1945"/>
      <c r="Q121" s="1949"/>
      <c r="R121" s="1949"/>
      <c r="S121" s="330"/>
      <c r="T121" s="330"/>
      <c r="U121" s="330"/>
      <c r="V121" s="330"/>
      <c r="W121" s="1950"/>
      <c r="X121" s="1267"/>
      <c r="Y121" s="1267"/>
      <c r="Z121" s="1267"/>
      <c r="AA121" s="1267"/>
      <c r="AB121" s="1267"/>
      <c r="AC121" s="1267"/>
      <c r="AD121" s="1267"/>
      <c r="AE121" s="1267"/>
      <c r="AF121" s="1267"/>
      <c r="AG121" s="1267"/>
      <c r="AH121" s="1267"/>
      <c r="AI121" s="1267"/>
      <c r="AJ121" s="1267"/>
      <c r="AK121" s="1267"/>
      <c r="AL121" s="1267"/>
      <c r="AM121" s="1267"/>
      <c r="AN121" s="1267"/>
      <c r="AO121" s="1267"/>
      <c r="AP121" s="1267"/>
      <c r="AQ121" s="1267"/>
      <c r="AR121" s="1468">
        <v>0</v>
      </c>
    </row>
    <row s="1854" customFormat="1" customHeight="1" ht="17.25" hidden="1">
      <c r="A122" s="322"/>
      <c r="C122" s="321"/>
      <c r="D122" s="2137"/>
      <c r="E122" s="2145"/>
      <c r="F122" s="2147"/>
      <c r="G122" s="2145"/>
      <c r="H122" s="2150"/>
      <c r="I122" s="2152"/>
      <c r="J122" s="2155"/>
      <c r="K122" s="2139"/>
      <c r="L122" s="1949"/>
      <c r="M122" s="1949"/>
      <c r="N122" s="1949"/>
      <c r="O122" s="1949"/>
      <c r="P122" s="1949"/>
      <c r="Q122" s="1949"/>
      <c r="R122" s="1949"/>
      <c r="S122" s="330"/>
      <c r="T122" s="330"/>
      <c r="U122" s="330"/>
      <c r="V122" s="330"/>
      <c r="W122" s="1950"/>
      <c r="X122" s="1267"/>
      <c r="Y122" s="1267"/>
      <c r="Z122" s="1267"/>
      <c r="AA122" s="1267"/>
      <c r="AB122" s="1267"/>
      <c r="AC122" s="1267"/>
      <c r="AD122" s="1267"/>
      <c r="AE122" s="1267"/>
      <c r="AF122" s="1267"/>
      <c r="AG122" s="1267"/>
      <c r="AH122" s="1267"/>
      <c r="AI122" s="1267"/>
      <c r="AJ122" s="1267"/>
      <c r="AK122" s="1267"/>
      <c r="AL122" s="1267"/>
      <c r="AM122" s="1267"/>
      <c r="AN122" s="1267"/>
      <c r="AO122" s="1267"/>
      <c r="AP122" s="1267"/>
      <c r="AQ122" s="1267"/>
      <c r="AR122" s="1468">
        <v>0</v>
      </c>
    </row>
    <row s="1854" customFormat="1" customHeight="1" ht="17.25" hidden="1">
      <c r="A123" s="322"/>
      <c r="C123" s="321"/>
      <c r="D123" s="2137"/>
      <c r="E123" s="2145"/>
      <c r="F123" s="2148"/>
      <c r="G123" s="2145"/>
      <c r="H123" s="1300"/>
      <c r="I123" s="1947"/>
      <c r="J123" s="1947"/>
      <c r="K123" s="1947"/>
      <c r="L123" s="1947"/>
      <c r="M123" s="1947"/>
      <c r="N123" s="1947"/>
      <c r="O123" s="1947"/>
      <c r="P123" s="1947"/>
      <c r="Q123" s="1947"/>
      <c r="R123" s="1947"/>
      <c r="S123" s="1302"/>
      <c r="T123" s="1302"/>
      <c r="U123" s="1302"/>
      <c r="V123" s="1302"/>
      <c r="W123" s="1948"/>
      <c r="X123" s="1267"/>
      <c r="Y123" s="1267"/>
      <c r="Z123" s="1267"/>
      <c r="AA123" s="1267"/>
      <c r="AB123" s="1267"/>
      <c r="AC123" s="1267"/>
      <c r="AD123" s="1267"/>
      <c r="AE123" s="1267"/>
      <c r="AF123" s="1267"/>
      <c r="AG123" s="1267"/>
      <c r="AH123" s="1267"/>
      <c r="AI123" s="1267"/>
      <c r="AJ123" s="1267"/>
      <c r="AK123" s="1267"/>
      <c r="AL123" s="1267"/>
      <c r="AM123" s="1267"/>
      <c r="AN123" s="1267"/>
      <c r="AO123" s="1267"/>
      <c r="AP123" s="1267"/>
      <c r="AQ123" s="1267"/>
      <c r="AR123" s="1468">
        <v>0</v>
      </c>
    </row>
    <row s="1854" customFormat="1" customHeight="1" ht="11.25" hidden="1">
      <c r="A124" s="278"/>
      <c r="B124" s="278"/>
      <c r="Y124" s="1260"/>
      <c r="Z124" s="1260"/>
      <c r="AA124" s="1260"/>
      <c r="AB124" s="1260"/>
      <c r="AC124" s="1260"/>
      <c r="AD124" s="1260"/>
      <c r="AE124" s="1260"/>
      <c r="AF124" s="1260"/>
      <c r="AG124" s="1260"/>
      <c r="AH124" s="1260"/>
      <c r="AI124" s="1260"/>
      <c r="AJ124" s="1260"/>
      <c r="AK124" s="1260"/>
      <c r="AL124" s="1260"/>
      <c r="AM124" s="1260"/>
      <c r="AN124" s="1260"/>
      <c r="AO124" s="1260"/>
      <c r="AP124" s="1260"/>
      <c r="AQ124" s="1260"/>
      <c r="AR124" s="1468">
        <v>0</v>
      </c>
    </row>
    <row s="1854" customFormat="1" customHeight="1" ht="17.25" hidden="1">
      <c r="A125" s="322"/>
      <c r="C125" s="210"/>
      <c r="D125" s="2136">
        <v>1</v>
      </c>
      <c r="E125" s="2144" t="s">
        <v>281</v>
      </c>
      <c r="F125" s="2146" t="s">
        <v>19</v>
      </c>
      <c r="G125" s="2144"/>
      <c r="H125" s="2149"/>
      <c r="I125" s="2151"/>
      <c r="J125" s="2153"/>
      <c r="K125" s="2138"/>
      <c r="L125" s="2138"/>
      <c r="M125" s="2138"/>
      <c r="N125" s="2140"/>
      <c r="O125" s="2138"/>
      <c r="P125" s="2138"/>
      <c r="Q125" s="2138"/>
      <c r="R125" s="2143"/>
      <c r="S125" s="2138"/>
      <c r="T125" s="1471"/>
      <c r="U125" s="1471"/>
      <c r="V125" s="1473"/>
      <c r="W125" s="1297"/>
      <c r="Y125" s="1268"/>
      <c r="Z125" s="1268"/>
      <c r="AA125" s="1268"/>
      <c r="AB125" s="1268"/>
      <c r="AC125" s="1268" t="s">
        <v>282</v>
      </c>
      <c r="AD125" s="1268" t="s">
        <v>283</v>
      </c>
      <c r="AE125" s="1268" t="s">
        <v>284</v>
      </c>
      <c r="AF125" s="1268" t="s">
        <v>285</v>
      </c>
      <c r="AG125" s="1268"/>
      <c r="AH125" s="1268" t="str">
        <f>IF($E$125=0,"",$E$125)</f>
        <v>Тариф на водоотведение</v>
      </c>
      <c r="AI125" s="1268" t="str">
        <f>IF($G$125=0,"",$G$125)</f>
        <v/>
      </c>
      <c r="AJ125" s="1268" t="str">
        <f>IF($J$125=0,"",$J$125)</f>
        <v/>
      </c>
      <c r="AK125" s="1268" t="str">
        <f>IF($K$125="нет","без дифференциации",IF($N$125=0,"",$N$125))</f>
        <v/>
      </c>
      <c r="AL125" s="1268" t="str">
        <f>IF($O$125="нет","без дифференциации",IF($R$125=0,"",$R$125))</f>
        <v/>
      </c>
      <c r="AM125" s="1268" t="str">
        <f>IF($S$125="нет","без дифференциации",IF($V$125=0,"",$V$125))</f>
        <v/>
      </c>
      <c r="AN125" s="1268">
        <f>$I$125</f>
        <v>0</v>
      </c>
      <c r="AO125" s="1268" t="str">
        <f>$I$125&amp;"."&amp;$M$125</f>
        <v>.</v>
      </c>
      <c r="AP125" s="1268" t="str">
        <f>$I$125&amp;"."&amp;$M$125&amp;"."&amp;$Q$125</f>
        <v>..</v>
      </c>
      <c r="AQ125" s="1268" t="str">
        <f>$I$125&amp;"."&amp;$M$125&amp;"."&amp;$Q$125&amp;"."&amp;$U$125</f>
        <v>...</v>
      </c>
      <c r="AR125" s="1468">
        <v>0</v>
      </c>
    </row>
    <row s="1854" customFormat="1" customHeight="1" ht="17.25" hidden="1">
      <c r="A126" s="322"/>
      <c r="C126" s="321"/>
      <c r="D126" s="2136"/>
      <c r="E126" s="2144"/>
      <c r="F126" s="2147"/>
      <c r="G126" s="2144"/>
      <c r="H126" s="2150"/>
      <c r="I126" s="2152"/>
      <c r="J126" s="2154"/>
      <c r="K126" s="2139"/>
      <c r="L126" s="2139"/>
      <c r="M126" s="2139"/>
      <c r="N126" s="2141"/>
      <c r="O126" s="2139"/>
      <c r="P126" s="2139"/>
      <c r="Q126" s="2139"/>
      <c r="R126" s="2142"/>
      <c r="S126" s="2139"/>
      <c r="T126" s="1298"/>
      <c r="U126" s="1298"/>
      <c r="V126" s="1298"/>
      <c r="W126" s="1299"/>
      <c r="Y126" s="1260"/>
      <c r="Z126" s="1260"/>
      <c r="AA126" s="1260"/>
      <c r="AB126" s="1260"/>
      <c r="AC126" s="1260"/>
      <c r="AD126" s="1260"/>
      <c r="AE126" s="1260"/>
      <c r="AF126" s="1260"/>
      <c r="AG126" s="1260"/>
      <c r="AH126" s="1260"/>
      <c r="AI126" s="1260"/>
      <c r="AJ126" s="1260"/>
      <c r="AK126" s="1260"/>
      <c r="AL126" s="1260"/>
      <c r="AM126" s="1260"/>
      <c r="AN126" s="1260"/>
      <c r="AO126" s="1260"/>
      <c r="AP126" s="1260"/>
      <c r="AQ126" s="1260"/>
      <c r="AR126" s="1468">
        <v>0</v>
      </c>
    </row>
    <row s="1854" customFormat="1" customHeight="1" ht="17.25" hidden="1">
      <c r="A127" s="322"/>
      <c r="C127" s="210"/>
      <c r="D127" s="2136"/>
      <c r="E127" s="2144"/>
      <c r="F127" s="2147"/>
      <c r="G127" s="2144"/>
      <c r="H127" s="2150"/>
      <c r="I127" s="2152"/>
      <c r="J127" s="2155"/>
      <c r="K127" s="2139"/>
      <c r="L127" s="2139"/>
      <c r="M127" s="2139"/>
      <c r="N127" s="2142"/>
      <c r="O127" s="2139"/>
      <c r="P127" s="1472"/>
      <c r="Q127" s="1298"/>
      <c r="R127" s="1298"/>
      <c r="S127" s="330"/>
      <c r="T127" s="330"/>
      <c r="U127" s="330"/>
      <c r="V127" s="330"/>
      <c r="W127" s="1299"/>
      <c r="Y127" s="1268"/>
      <c r="Z127" s="1268"/>
      <c r="AA127" s="1268"/>
      <c r="AB127" s="1268"/>
      <c r="AC127" s="1268"/>
      <c r="AD127" s="1268"/>
      <c r="AE127" s="1268"/>
      <c r="AF127" s="1268"/>
      <c r="AG127" s="1268"/>
      <c r="AH127" s="1268"/>
      <c r="AI127" s="1268"/>
      <c r="AJ127" s="1268"/>
      <c r="AK127" s="1268"/>
      <c r="AL127" s="1268"/>
      <c r="AM127" s="1268"/>
      <c r="AN127" s="1268"/>
      <c r="AO127" s="1268"/>
      <c r="AP127" s="1268"/>
      <c r="AQ127" s="1268"/>
      <c r="AR127" s="1468">
        <v>0</v>
      </c>
    </row>
    <row s="1854" customFormat="1" customHeight="1" ht="17.25" hidden="1">
      <c r="A128" s="322"/>
      <c r="C128" s="321"/>
      <c r="D128" s="2136"/>
      <c r="E128" s="2144"/>
      <c r="F128" s="2147"/>
      <c r="G128" s="2144"/>
      <c r="H128" s="2150"/>
      <c r="I128" s="2152"/>
      <c r="J128" s="2155"/>
      <c r="K128" s="2139"/>
      <c r="L128" s="1298"/>
      <c r="M128" s="1298"/>
      <c r="N128" s="1298"/>
      <c r="O128" s="1298"/>
      <c r="P128" s="1298"/>
      <c r="Q128" s="1298"/>
      <c r="R128" s="1298"/>
      <c r="S128" s="330"/>
      <c r="T128" s="330"/>
      <c r="U128" s="330"/>
      <c r="V128" s="330"/>
      <c r="W128" s="1299"/>
      <c r="Y128" s="1260"/>
      <c r="Z128" s="1260"/>
      <c r="AA128" s="1260"/>
      <c r="AB128" s="1260"/>
      <c r="AC128" s="1260"/>
      <c r="AD128" s="1260"/>
      <c r="AE128" s="1260"/>
      <c r="AF128" s="1260"/>
      <c r="AG128" s="1260"/>
      <c r="AH128" s="1260"/>
      <c r="AI128" s="1260"/>
      <c r="AJ128" s="1260"/>
      <c r="AK128" s="1260"/>
      <c r="AL128" s="1260"/>
      <c r="AM128" s="1260"/>
      <c r="AN128" s="1260"/>
      <c r="AO128" s="1260"/>
      <c r="AP128" s="1260"/>
      <c r="AQ128" s="1260"/>
      <c r="AR128" s="1468">
        <v>0</v>
      </c>
    </row>
    <row s="1854" customFormat="1" customHeight="1" ht="17.25" hidden="1">
      <c r="A129" s="322"/>
      <c r="C129" s="321"/>
      <c r="D129" s="2137"/>
      <c r="E129" s="2145"/>
      <c r="F129" s="2148"/>
      <c r="G129" s="2145"/>
      <c r="H129" s="1300"/>
      <c r="I129" s="1301"/>
      <c r="J129" s="1301"/>
      <c r="K129" s="1301"/>
      <c r="L129" s="1301"/>
      <c r="M129" s="1301"/>
      <c r="N129" s="1301"/>
      <c r="O129" s="1301"/>
      <c r="P129" s="1301"/>
      <c r="Q129" s="1301"/>
      <c r="R129" s="1301"/>
      <c r="S129" s="1302"/>
      <c r="T129" s="1302"/>
      <c r="U129" s="1302"/>
      <c r="V129" s="1302"/>
      <c r="W129" s="1303"/>
      <c r="Y129" s="1260"/>
      <c r="Z129" s="1260"/>
      <c r="AA129" s="1260"/>
      <c r="AB129" s="1260"/>
      <c r="AC129" s="1260"/>
      <c r="AD129" s="1260"/>
      <c r="AE129" s="1260"/>
      <c r="AF129" s="1260"/>
      <c r="AG129" s="1260"/>
      <c r="AH129" s="1260"/>
      <c r="AI129" s="1260"/>
      <c r="AJ129" s="1260"/>
      <c r="AK129" s="1260"/>
      <c r="AL129" s="1260"/>
      <c r="AM129" s="1260"/>
      <c r="AN129" s="1260"/>
      <c r="AO129" s="1260"/>
      <c r="AP129" s="1260"/>
      <c r="AQ129" s="1260"/>
      <c r="AR129" s="1468">
        <v>0</v>
      </c>
    </row>
    <row s="1854" customFormat="1" customHeight="1" ht="17.25" hidden="1">
      <c r="A130" s="322"/>
      <c r="C130" s="210"/>
      <c r="D130" s="2136">
        <v>2</v>
      </c>
      <c r="E130" s="2144" t="s">
        <v>286</v>
      </c>
      <c r="F130" s="2146" t="s">
        <v>19</v>
      </c>
      <c r="G130" s="2144"/>
      <c r="H130" s="2149"/>
      <c r="I130" s="2151"/>
      <c r="J130" s="2153"/>
      <c r="K130" s="2138"/>
      <c r="L130" s="2138"/>
      <c r="M130" s="2138"/>
      <c r="N130" s="2140"/>
      <c r="O130" s="2138"/>
      <c r="P130" s="2138"/>
      <c r="Q130" s="2138"/>
      <c r="R130" s="2143"/>
      <c r="S130" s="2138"/>
      <c r="T130" s="1471"/>
      <c r="U130" s="1471"/>
      <c r="V130" s="1473"/>
      <c r="W130" s="1297"/>
      <c r="X130" s="1268"/>
      <c r="Y130" s="1268"/>
      <c r="Z130" s="1268"/>
      <c r="AA130" s="1268"/>
      <c r="AB130" s="1268"/>
      <c r="AC130" s="1268" t="s">
        <v>287</v>
      </c>
      <c r="AD130" s="1268" t="s">
        <v>288</v>
      </c>
      <c r="AE130" s="1268" t="s">
        <v>289</v>
      </c>
      <c r="AF130" s="1268" t="s">
        <v>290</v>
      </c>
      <c r="AG130" s="1268"/>
      <c r="AH130" s="1268" t="str">
        <f>IF($E$130=0,"",$E$130)</f>
        <v>Тариф на транспортировку сточных вод</v>
      </c>
      <c r="AI130" s="1268" t="str">
        <f>IF($G$130=0,"",$G$130)</f>
        <v/>
      </c>
      <c r="AJ130" s="1268" t="str">
        <f>IF($J$130=0,"",$J$130)</f>
        <v/>
      </c>
      <c r="AK130" s="1268" t="str">
        <f>IF($K$130="нет","без дифференциации",IF($N$130=0,"",$N$130))</f>
        <v/>
      </c>
      <c r="AL130" s="1268" t="str">
        <f>IF($O$130="нет","без дифференциации",IF($R$130=0,"",$R$130))</f>
        <v/>
      </c>
      <c r="AM130" s="1268" t="str">
        <f>IF($S$130="нет","без дифференциации",IF($V$130=0,"",$V$130))</f>
        <v/>
      </c>
      <c r="AN130" s="1773">
        <f>$I$130</f>
        <v>0</v>
      </c>
      <c r="AO130" s="1268" t="str">
        <f>$I$130&amp;"."&amp;$M$130</f>
        <v>.</v>
      </c>
      <c r="AP130" s="1260" t="str">
        <f>$I$130&amp;"."&amp;$M$130&amp;"."&amp;$Q$130</f>
        <v>..</v>
      </c>
      <c r="AQ130" s="1260" t="str">
        <f>$I$130&amp;"."&amp;$M$130&amp;"."&amp;$Q$130&amp;"."&amp;$U$130</f>
        <v>...</v>
      </c>
      <c r="AR130" s="1468">
        <v>0</v>
      </c>
    </row>
    <row s="1854" customFormat="1" customHeight="1" ht="17.25" hidden="1">
      <c r="A131" s="322"/>
      <c r="C131" s="321"/>
      <c r="D131" s="2136"/>
      <c r="E131" s="2144"/>
      <c r="F131" s="2147"/>
      <c r="G131" s="2144"/>
      <c r="H131" s="2150"/>
      <c r="I131" s="2152"/>
      <c r="J131" s="2154"/>
      <c r="K131" s="2139"/>
      <c r="L131" s="2139"/>
      <c r="M131" s="2139"/>
      <c r="N131" s="2141"/>
      <c r="O131" s="2139"/>
      <c r="P131" s="2139"/>
      <c r="Q131" s="2139"/>
      <c r="R131" s="2142"/>
      <c r="S131" s="2139"/>
      <c r="T131" s="1298"/>
      <c r="U131" s="1298"/>
      <c r="V131" s="1298"/>
      <c r="W131" s="1299"/>
      <c r="X131" s="1260"/>
      <c r="Y131" s="1260"/>
      <c r="Z131" s="1260"/>
      <c r="AA131" s="1260"/>
      <c r="AB131" s="1260"/>
      <c r="AC131" s="1260"/>
      <c r="AD131" s="1260"/>
      <c r="AE131" s="1260"/>
      <c r="AF131" s="1260"/>
      <c r="AG131" s="1260"/>
      <c r="AH131" s="1260"/>
      <c r="AI131" s="1260"/>
      <c r="AJ131" s="1260"/>
      <c r="AK131" s="1260"/>
      <c r="AL131" s="1260"/>
      <c r="AM131" s="1260"/>
      <c r="AN131" s="1260"/>
      <c r="AO131" s="1260"/>
      <c r="AP131" s="1260"/>
      <c r="AQ131" s="1260"/>
      <c r="AR131" s="1468">
        <v>0</v>
      </c>
    </row>
    <row s="1854" customFormat="1" customHeight="1" ht="17.25" hidden="1">
      <c r="A132" s="322"/>
      <c r="C132" s="321"/>
      <c r="D132" s="2137"/>
      <c r="E132" s="2145"/>
      <c r="F132" s="2147"/>
      <c r="G132" s="2145"/>
      <c r="H132" s="2150"/>
      <c r="I132" s="2152"/>
      <c r="J132" s="2155"/>
      <c r="K132" s="2139"/>
      <c r="L132" s="2139"/>
      <c r="M132" s="2139"/>
      <c r="N132" s="2142"/>
      <c r="O132" s="2139"/>
      <c r="P132" s="1472"/>
      <c r="Q132" s="1298"/>
      <c r="R132" s="1298"/>
      <c r="S132" s="330"/>
      <c r="T132" s="330"/>
      <c r="U132" s="330"/>
      <c r="V132" s="330"/>
      <c r="W132" s="1299"/>
      <c r="X132" s="1260"/>
      <c r="Y132" s="1260"/>
      <c r="Z132" s="1260"/>
      <c r="AA132" s="1260"/>
      <c r="AB132" s="1260"/>
      <c r="AC132" s="1260"/>
      <c r="AD132" s="1260"/>
      <c r="AE132" s="1260"/>
      <c r="AF132" s="1260"/>
      <c r="AG132" s="1260"/>
      <c r="AH132" s="1260"/>
      <c r="AI132" s="1260"/>
      <c r="AJ132" s="1260"/>
      <c r="AK132" s="1260"/>
      <c r="AL132" s="1260"/>
      <c r="AM132" s="1260"/>
      <c r="AN132" s="1260"/>
      <c r="AO132" s="1260"/>
      <c r="AP132" s="1260"/>
      <c r="AQ132" s="1260"/>
      <c r="AR132" s="1468">
        <v>0</v>
      </c>
    </row>
    <row s="1854" customFormat="1" customHeight="1" ht="17.25" hidden="1">
      <c r="A133" s="322"/>
      <c r="C133" s="321"/>
      <c r="D133" s="2137"/>
      <c r="E133" s="2145"/>
      <c r="F133" s="2147"/>
      <c r="G133" s="2145"/>
      <c r="H133" s="2150"/>
      <c r="I133" s="2152"/>
      <c r="J133" s="2155"/>
      <c r="K133" s="2139"/>
      <c r="L133" s="1298"/>
      <c r="M133" s="1298"/>
      <c r="N133" s="1298"/>
      <c r="O133" s="1298"/>
      <c r="P133" s="1298"/>
      <c r="Q133" s="1298"/>
      <c r="R133" s="1298"/>
      <c r="S133" s="330"/>
      <c r="T133" s="330"/>
      <c r="U133" s="330"/>
      <c r="V133" s="330"/>
      <c r="W133" s="1299"/>
      <c r="X133" s="1260"/>
      <c r="Y133" s="1260"/>
      <c r="Z133" s="1260"/>
      <c r="AA133" s="1260"/>
      <c r="AB133" s="1260"/>
      <c r="AC133" s="1260"/>
      <c r="AD133" s="1260"/>
      <c r="AE133" s="1260"/>
      <c r="AF133" s="1260"/>
      <c r="AG133" s="1260"/>
      <c r="AH133" s="1260"/>
      <c r="AI133" s="1260"/>
      <c r="AJ133" s="1260"/>
      <c r="AK133" s="1260"/>
      <c r="AL133" s="1260"/>
      <c r="AM133" s="1260"/>
      <c r="AN133" s="1260"/>
      <c r="AO133" s="1260"/>
      <c r="AP133" s="1260"/>
      <c r="AQ133" s="1260"/>
      <c r="AR133" s="1468">
        <v>0</v>
      </c>
    </row>
    <row s="1854" customFormat="1" customHeight="1" ht="17.25" hidden="1">
      <c r="A134" s="322"/>
      <c r="C134" s="321"/>
      <c r="D134" s="2137"/>
      <c r="E134" s="2145"/>
      <c r="F134" s="2148"/>
      <c r="G134" s="2145"/>
      <c r="H134" s="1300"/>
      <c r="I134" s="1301"/>
      <c r="J134" s="1301"/>
      <c r="K134" s="1301"/>
      <c r="L134" s="1301"/>
      <c r="M134" s="1301"/>
      <c r="N134" s="1301"/>
      <c r="O134" s="1301"/>
      <c r="P134" s="1301"/>
      <c r="Q134" s="1301"/>
      <c r="R134" s="1301"/>
      <c r="S134" s="1302"/>
      <c r="T134" s="1302"/>
      <c r="U134" s="1302"/>
      <c r="V134" s="1302"/>
      <c r="W134" s="1303"/>
      <c r="X134" s="1260"/>
      <c r="Y134" s="1260"/>
      <c r="Z134" s="1260"/>
      <c r="AA134" s="1260"/>
      <c r="AB134" s="1260"/>
      <c r="AC134" s="1260"/>
      <c r="AD134" s="1260"/>
      <c r="AE134" s="1260"/>
      <c r="AF134" s="1260"/>
      <c r="AG134" s="1260"/>
      <c r="AH134" s="1260"/>
      <c r="AI134" s="1260"/>
      <c r="AJ134" s="1260"/>
      <c r="AK134" s="1260"/>
      <c r="AL134" s="1260"/>
      <c r="AM134" s="1260"/>
      <c r="AN134" s="1260"/>
      <c r="AO134" s="1260"/>
      <c r="AP134" s="1260"/>
      <c r="AQ134" s="1260"/>
      <c r="AR134" s="1468">
        <v>0</v>
      </c>
    </row>
    <row s="1854" customFormat="1" customHeight="1" ht="17.25" hidden="1">
      <c r="A135" s="322"/>
      <c r="C135" s="210"/>
      <c r="D135" s="2136">
        <v>3</v>
      </c>
      <c r="E135" s="2144" t="s">
        <v>291</v>
      </c>
      <c r="F135" s="2146" t="s">
        <v>19</v>
      </c>
      <c r="G135" s="2144"/>
      <c r="H135" s="2149"/>
      <c r="I135" s="2151"/>
      <c r="J135" s="2153"/>
      <c r="K135" s="2138"/>
      <c r="L135" s="2138"/>
      <c r="M135" s="2138"/>
      <c r="N135" s="2140"/>
      <c r="O135" s="2138"/>
      <c r="P135" s="2138"/>
      <c r="Q135" s="2138"/>
      <c r="R135" s="2143"/>
      <c r="S135" s="2138"/>
      <c r="T135" s="1944"/>
      <c r="U135" s="1944"/>
      <c r="V135" s="1946"/>
      <c r="W135" s="1297"/>
      <c r="X135" s="1268"/>
      <c r="Y135" s="1268"/>
      <c r="Z135" s="1268"/>
      <c r="AA135" s="1268"/>
      <c r="AB135" s="1268"/>
      <c r="AC135" s="1268" t="s">
        <v>292</v>
      </c>
      <c r="AD135" s="1268" t="s">
        <v>293</v>
      </c>
      <c r="AE135" s="1268" t="s">
        <v>294</v>
      </c>
      <c r="AF135" s="1268" t="s">
        <v>295</v>
      </c>
      <c r="AG135" s="1268"/>
      <c r="AH135" s="1268" t="str">
        <f>IF($E$135=0,"",$E$135)</f>
        <v>Тариф на подключение (технологическое присоединение) к централизованной системе водоотведения</v>
      </c>
      <c r="AI135" s="1268" t="str">
        <f>IF($G$135=0,"",$G$135)</f>
        <v/>
      </c>
      <c r="AJ135" s="1268" t="str">
        <f>IF($J$135=0,"",$J$135)</f>
        <v/>
      </c>
      <c r="AK135" s="1268" t="str">
        <f>IF($K$135="нет","без дифференциации",IF($N$135=0,"",$N$135))</f>
        <v/>
      </c>
      <c r="AL135" s="1268" t="str">
        <f>IF($O$135="нет","без дифференциации",IF($R$135=0,"",$R$135))</f>
        <v/>
      </c>
      <c r="AM135" s="1268" t="str">
        <f>IF($S$135="нет","без дифференциации",IF($V$135=0,"",$V$135))</f>
        <v/>
      </c>
      <c r="AN135" s="1773">
        <f>$I$135</f>
        <v>0</v>
      </c>
      <c r="AO135" s="1268" t="str">
        <f>$I$135&amp;"."&amp;$M$135</f>
        <v>.</v>
      </c>
      <c r="AP135" s="1267" t="str">
        <f>$I$135&amp;"."&amp;$M$135&amp;"."&amp;$Q$135</f>
        <v>..</v>
      </c>
      <c r="AQ135" s="1267" t="str">
        <f>$I$135&amp;"."&amp;$M$135&amp;"."&amp;$Q$135&amp;"."&amp;$U$135</f>
        <v>...</v>
      </c>
      <c r="AR135" s="1468">
        <v>0</v>
      </c>
    </row>
    <row s="1854" customFormat="1" customHeight="1" ht="17.25" hidden="1">
      <c r="A136" s="322"/>
      <c r="C136" s="321"/>
      <c r="D136" s="2136"/>
      <c r="E136" s="2144"/>
      <c r="F136" s="2147"/>
      <c r="G136" s="2144"/>
      <c r="H136" s="2150"/>
      <c r="I136" s="2152"/>
      <c r="J136" s="2154"/>
      <c r="K136" s="2139"/>
      <c r="L136" s="2139"/>
      <c r="M136" s="2139"/>
      <c r="N136" s="2141"/>
      <c r="O136" s="2139"/>
      <c r="P136" s="2139"/>
      <c r="Q136" s="2139"/>
      <c r="R136" s="2142"/>
      <c r="S136" s="2139"/>
      <c r="T136" s="1949"/>
      <c r="U136" s="1949"/>
      <c r="V136" s="1949"/>
      <c r="W136" s="1950"/>
      <c r="X136" s="1267"/>
      <c r="Y136" s="1267"/>
      <c r="Z136" s="1267"/>
      <c r="AA136" s="1267"/>
      <c r="AB136" s="1267"/>
      <c r="AC136" s="1267"/>
      <c r="AD136" s="1267"/>
      <c r="AE136" s="1267"/>
      <c r="AF136" s="1267"/>
      <c r="AG136" s="1267"/>
      <c r="AH136" s="1267"/>
      <c r="AI136" s="1267"/>
      <c r="AJ136" s="1267"/>
      <c r="AK136" s="1267"/>
      <c r="AL136" s="1267"/>
      <c r="AM136" s="1267"/>
      <c r="AN136" s="1267"/>
      <c r="AO136" s="1267"/>
      <c r="AP136" s="1267"/>
      <c r="AQ136" s="1267"/>
      <c r="AR136" s="1468">
        <v>0</v>
      </c>
    </row>
    <row s="1854" customFormat="1" customHeight="1" ht="17.25" hidden="1">
      <c r="A137" s="322"/>
      <c r="C137" s="321"/>
      <c r="D137" s="2137"/>
      <c r="E137" s="2145"/>
      <c r="F137" s="2147"/>
      <c r="G137" s="2145"/>
      <c r="H137" s="2150"/>
      <c r="I137" s="2152"/>
      <c r="J137" s="2155"/>
      <c r="K137" s="2139"/>
      <c r="L137" s="2139"/>
      <c r="M137" s="2139"/>
      <c r="N137" s="2142"/>
      <c r="O137" s="2139"/>
      <c r="P137" s="1945"/>
      <c r="Q137" s="1949"/>
      <c r="R137" s="1949"/>
      <c r="S137" s="330"/>
      <c r="T137" s="330"/>
      <c r="U137" s="330"/>
      <c r="V137" s="330"/>
      <c r="W137" s="1950"/>
      <c r="X137" s="1267"/>
      <c r="Y137" s="1267"/>
      <c r="Z137" s="1267"/>
      <c r="AA137" s="1267"/>
      <c r="AB137" s="1267"/>
      <c r="AC137" s="1267"/>
      <c r="AD137" s="1267"/>
      <c r="AE137" s="1267"/>
      <c r="AF137" s="1267"/>
      <c r="AG137" s="1267"/>
      <c r="AH137" s="1267"/>
      <c r="AI137" s="1267"/>
      <c r="AJ137" s="1267"/>
      <c r="AK137" s="1267"/>
      <c r="AL137" s="1267"/>
      <c r="AM137" s="1267"/>
      <c r="AN137" s="1267"/>
      <c r="AO137" s="1267"/>
      <c r="AP137" s="1267"/>
      <c r="AQ137" s="1267"/>
      <c r="AR137" s="1468">
        <v>0</v>
      </c>
    </row>
    <row s="1854" customFormat="1" customHeight="1" ht="17.25" hidden="1">
      <c r="A138" s="322"/>
      <c r="C138" s="321"/>
      <c r="D138" s="2137"/>
      <c r="E138" s="2145"/>
      <c r="F138" s="2147"/>
      <c r="G138" s="2145"/>
      <c r="H138" s="2150"/>
      <c r="I138" s="2152"/>
      <c r="J138" s="2155"/>
      <c r="K138" s="2139"/>
      <c r="L138" s="1949"/>
      <c r="M138" s="1949"/>
      <c r="N138" s="1949"/>
      <c r="O138" s="1949"/>
      <c r="P138" s="1949"/>
      <c r="Q138" s="1949"/>
      <c r="R138" s="1949"/>
      <c r="S138" s="330"/>
      <c r="T138" s="330"/>
      <c r="U138" s="330"/>
      <c r="V138" s="330"/>
      <c r="W138" s="1950"/>
      <c r="X138" s="1267"/>
      <c r="Y138" s="1267"/>
      <c r="Z138" s="1267"/>
      <c r="AA138" s="1267"/>
      <c r="AB138" s="1267"/>
      <c r="AC138" s="1267"/>
      <c r="AD138" s="1267"/>
      <c r="AE138" s="1267"/>
      <c r="AF138" s="1267"/>
      <c r="AG138" s="1267"/>
      <c r="AH138" s="1267"/>
      <c r="AI138" s="1267"/>
      <c r="AJ138" s="1267"/>
      <c r="AK138" s="1267"/>
      <c r="AL138" s="1267"/>
      <c r="AM138" s="1267"/>
      <c r="AN138" s="1267"/>
      <c r="AO138" s="1267"/>
      <c r="AP138" s="1267"/>
      <c r="AQ138" s="1267"/>
      <c r="AR138" s="1468">
        <v>0</v>
      </c>
    </row>
    <row s="1854" customFormat="1" customHeight="1" ht="17.25" hidden="1">
      <c r="A139" s="322"/>
      <c r="C139" s="321"/>
      <c r="D139" s="2137"/>
      <c r="E139" s="2145"/>
      <c r="F139" s="2148"/>
      <c r="G139" s="2145"/>
      <c r="H139" s="1300"/>
      <c r="I139" s="1947"/>
      <c r="J139" s="1947"/>
      <c r="K139" s="1947"/>
      <c r="L139" s="1947"/>
      <c r="M139" s="1947"/>
      <c r="N139" s="1947"/>
      <c r="O139" s="1947"/>
      <c r="P139" s="1947"/>
      <c r="Q139" s="1947"/>
      <c r="R139" s="1947"/>
      <c r="S139" s="1302"/>
      <c r="T139" s="1302"/>
      <c r="U139" s="1302"/>
      <c r="V139" s="1302"/>
      <c r="W139" s="1948"/>
      <c r="X139" s="1267"/>
      <c r="Y139" s="1267"/>
      <c r="Z139" s="1267"/>
      <c r="AA139" s="1267"/>
      <c r="AB139" s="1267"/>
      <c r="AC139" s="1267"/>
      <c r="AD139" s="1267"/>
      <c r="AE139" s="1267"/>
      <c r="AF139" s="1267"/>
      <c r="AG139" s="1267"/>
      <c r="AH139" s="1267"/>
      <c r="AI139" s="1267"/>
      <c r="AJ139" s="1267"/>
      <c r="AK139" s="1267"/>
      <c r="AL139" s="1267"/>
      <c r="AM139" s="1267"/>
      <c r="AN139" s="1267"/>
      <c r="AO139" s="1267"/>
      <c r="AP139" s="1267"/>
      <c r="AQ139" s="1267"/>
      <c r="AR139" s="1468">
        <v>0</v>
      </c>
    </row>
    <row customHeight="1" ht="11.549999999999999">
      <c r="AR140" s="105">
        <v>11</v>
      </c>
    </row>
    <row customHeight="1" ht="11.549999999999999">
      <c r="AR141" s="105">
        <v>11</v>
      </c>
    </row>
    <row customHeight="1" ht="11.549999999999999">
      <c r="AR142" s="105">
        <v>11</v>
      </c>
    </row>
    <row customHeight="1" ht="11.549999999999999">
      <c r="E143" s="1351"/>
      <c r="AR143" s="105">
        <v>11</v>
      </c>
    </row>
    <row customHeight="1" ht="11.549999999999999">
      <c r="E144" s="1351"/>
      <c r="AR144" s="105">
        <v>11</v>
      </c>
    </row>
    <row customHeight="1" ht="11.549999999999999">
      <c r="E145" s="1351"/>
      <c r="AR145" s="105">
        <v>11</v>
      </c>
    </row>
    <row customHeight="1" ht="11.549999999999999">
      <c r="E146" s="1351"/>
      <c r="AR146" s="105">
        <v>11</v>
      </c>
    </row>
    <row customHeight="1" ht="11.549999999999999">
      <c r="E147" s="1351"/>
      <c r="AR147" s="105">
        <v>11</v>
      </c>
    </row>
    <row customHeight="1" ht="11.549999999999999">
      <c r="E148" s="1351"/>
      <c r="AR148" s="105">
        <v>11</v>
      </c>
    </row>
    <row customHeight="1" ht="11.549999999999999">
      <c r="E149" s="1351"/>
      <c r="AR149" s="105">
        <v>11</v>
      </c>
    </row>
    <row customHeight="1" ht="11.25" hidden="1">
      <c r="A150" s="154" t="s">
        <v>83</v>
      </c>
      <c r="B150" s="154">
        <v>0</v>
      </c>
      <c r="C150" s="105">
        <v>3</v>
      </c>
      <c r="D150" s="105">
        <v>6</v>
      </c>
      <c r="E150" s="105">
        <v>42</v>
      </c>
      <c r="F150" s="1284">
        <v>14</v>
      </c>
      <c r="G150" s="105">
        <v>42</v>
      </c>
      <c r="H150" s="105">
        <v>3</v>
      </c>
      <c r="I150" s="105">
        <v>5</v>
      </c>
      <c r="J150" s="105">
        <v>47</v>
      </c>
      <c r="K150" s="105">
        <v>3</v>
      </c>
      <c r="L150" s="105">
        <v>3</v>
      </c>
      <c r="M150" s="105">
        <v>5</v>
      </c>
      <c r="N150" s="105">
        <v>28</v>
      </c>
      <c r="O150" s="105">
        <v>3</v>
      </c>
      <c r="P150" s="105">
        <v>3</v>
      </c>
      <c r="Q150" s="105">
        <v>5</v>
      </c>
      <c r="R150" s="105">
        <v>34</v>
      </c>
      <c r="S150" s="283">
        <v>0</v>
      </c>
      <c r="T150" s="283">
        <v>0</v>
      </c>
      <c r="U150" s="283">
        <v>0</v>
      </c>
      <c r="V150" s="283">
        <v>0</v>
      </c>
      <c r="W150" s="105">
        <v>30</v>
      </c>
      <c r="X150" s="105">
        <v>3</v>
      </c>
      <c r="Y150" s="1260">
        <v>0</v>
      </c>
      <c r="Z150" s="1260">
        <v>0</v>
      </c>
      <c r="AA150" s="1260">
        <v>0</v>
      </c>
      <c r="AB150" s="1260">
        <v>0</v>
      </c>
      <c r="AC150" s="1260">
        <v>0</v>
      </c>
      <c r="AD150" s="1260">
        <v>0</v>
      </c>
      <c r="AE150" s="1260">
        <v>0</v>
      </c>
      <c r="AF150" s="1260">
        <v>0</v>
      </c>
      <c r="AG150" s="1260">
        <v>0</v>
      </c>
      <c r="AH150" s="1260">
        <v>0</v>
      </c>
      <c r="AI150" s="1260">
        <v>0</v>
      </c>
      <c r="AJ150" s="1260">
        <v>0</v>
      </c>
      <c r="AK150" s="1260">
        <v>0</v>
      </c>
      <c r="AL150" s="1260">
        <v>0</v>
      </c>
      <c r="AM150" s="1260">
        <v>0</v>
      </c>
      <c r="AN150" s="1260">
        <v>0</v>
      </c>
      <c r="AO150" s="1260">
        <v>0</v>
      </c>
      <c r="AP150" s="1260">
        <v>0</v>
      </c>
      <c r="AQ150" s="1260">
        <v>0</v>
      </c>
      <c r="AR150" s="105">
        <v>11</v>
      </c>
    </row>
  </sheetData>
  <sheetProtection formatColumns="0" formatRows="0" autoFilter="0" sort="0" insertRows="0" insertColumns="1" deleteRows="0" deleteColumns="0"/>
  <mergeCells count="391">
    <mergeCell ref="R27:R28"/>
    <mergeCell ref="S27:S28"/>
    <mergeCell ref="G27:G31"/>
    <mergeCell ref="H27:H30"/>
    <mergeCell ref="I27:I30"/>
    <mergeCell ref="J27:J30"/>
    <mergeCell ref="K27:K30"/>
    <mergeCell ref="L27:L29"/>
    <mergeCell ref="M27:M29"/>
    <mergeCell ref="N27:N29"/>
    <mergeCell ref="O27:O29"/>
    <mergeCell ref="M135:M137"/>
    <mergeCell ref="N135:N137"/>
    <mergeCell ref="O135:O137"/>
    <mergeCell ref="P135:P136"/>
    <mergeCell ref="Q135:Q136"/>
    <mergeCell ref="R135:R136"/>
    <mergeCell ref="S135:S136"/>
    <mergeCell ref="D135:D139"/>
    <mergeCell ref="E135:E139"/>
    <mergeCell ref="F135:F139"/>
    <mergeCell ref="G135:G139"/>
    <mergeCell ref="H135:H138"/>
    <mergeCell ref="I135:I138"/>
    <mergeCell ref="J135:J138"/>
    <mergeCell ref="K135:K138"/>
    <mergeCell ref="L135:L137"/>
    <mergeCell ref="N103:N105"/>
    <mergeCell ref="O103:O105"/>
    <mergeCell ref="P103:P104"/>
    <mergeCell ref="Q103:Q104"/>
    <mergeCell ref="R103:R104"/>
    <mergeCell ref="S103:S104"/>
    <mergeCell ref="D119:D123"/>
    <mergeCell ref="E119:E123"/>
    <mergeCell ref="F119:F123"/>
    <mergeCell ref="G119:G123"/>
    <mergeCell ref="H119:H122"/>
    <mergeCell ref="I119:I122"/>
    <mergeCell ref="J119:J122"/>
    <mergeCell ref="K119:K122"/>
    <mergeCell ref="L119:L121"/>
    <mergeCell ref="M119:M121"/>
    <mergeCell ref="N119:N121"/>
    <mergeCell ref="O119:O121"/>
    <mergeCell ref="P119:P120"/>
    <mergeCell ref="Q119:Q120"/>
    <mergeCell ref="R119:R120"/>
    <mergeCell ref="S119:S120"/>
    <mergeCell ref="D103:D107"/>
    <mergeCell ref="E103:E107"/>
    <mergeCell ref="F103:F107"/>
    <mergeCell ref="G103:G107"/>
    <mergeCell ref="H103:H106"/>
    <mergeCell ref="I103:I106"/>
    <mergeCell ref="J103:J106"/>
    <mergeCell ref="K103:K106"/>
    <mergeCell ref="L103:L105"/>
    <mergeCell ref="S130:S131"/>
    <mergeCell ref="D130:D134"/>
    <mergeCell ref="E130:E134"/>
    <mergeCell ref="F130:F134"/>
    <mergeCell ref="G130:G134"/>
    <mergeCell ref="H130:H133"/>
    <mergeCell ref="I130:I133"/>
    <mergeCell ref="J130:J133"/>
    <mergeCell ref="K130:K133"/>
    <mergeCell ref="L130:L132"/>
    <mergeCell ref="H125:H128"/>
    <mergeCell ref="I125:I128"/>
    <mergeCell ref="J125:J128"/>
    <mergeCell ref="K125:K128"/>
    <mergeCell ref="L125:L127"/>
    <mergeCell ref="M125:M127"/>
    <mergeCell ref="N125:N127"/>
    <mergeCell ref="M130:M132"/>
    <mergeCell ref="N130:N132"/>
    <mergeCell ref="O130:O132"/>
    <mergeCell ref="P125:P126"/>
    <mergeCell ref="Q125:Q126"/>
    <mergeCell ref="R125:R126"/>
    <mergeCell ref="P130:P131"/>
    <mergeCell ref="Q130:Q131"/>
    <mergeCell ref="R130:R131"/>
    <mergeCell ref="S125:S126"/>
    <mergeCell ref="D125:D129"/>
    <mergeCell ref="E125:E129"/>
    <mergeCell ref="F125:F129"/>
    <mergeCell ref="G125:G129"/>
    <mergeCell ref="M114:M116"/>
    <mergeCell ref="N114:N116"/>
    <mergeCell ref="O114:O116"/>
    <mergeCell ref="P114:P115"/>
    <mergeCell ref="Q114:Q115"/>
    <mergeCell ref="R114:R115"/>
    <mergeCell ref="S114:S115"/>
    <mergeCell ref="D114:D118"/>
    <mergeCell ref="E114:E118"/>
    <mergeCell ref="F114:F118"/>
    <mergeCell ref="G114:G118"/>
    <mergeCell ref="H114:H117"/>
    <mergeCell ref="I114:I117"/>
    <mergeCell ref="J114:J117"/>
    <mergeCell ref="K114:K117"/>
    <mergeCell ref="L114:L116"/>
    <mergeCell ref="O125:O127"/>
    <mergeCell ref="R13:R14"/>
    <mergeCell ref="S13:S14"/>
    <mergeCell ref="M52:M54"/>
    <mergeCell ref="N52:N54"/>
    <mergeCell ref="O52:O54"/>
    <mergeCell ref="N42:N44"/>
    <mergeCell ref="D109:D113"/>
    <mergeCell ref="E109:E113"/>
    <mergeCell ref="F109:F113"/>
    <mergeCell ref="G109:G113"/>
    <mergeCell ref="H109:H112"/>
    <mergeCell ref="I109:I112"/>
    <mergeCell ref="J109:J112"/>
    <mergeCell ref="K109:K112"/>
    <mergeCell ref="L109:L111"/>
    <mergeCell ref="P57:P58"/>
    <mergeCell ref="Q57:Q58"/>
    <mergeCell ref="R57:R58"/>
    <mergeCell ref="S57:S58"/>
    <mergeCell ref="P52:P53"/>
    <mergeCell ref="Q52:Q53"/>
    <mergeCell ref="R52:R53"/>
    <mergeCell ref="S52:S53"/>
    <mergeCell ref="S32:S33"/>
    <mergeCell ref="M109:M111"/>
    <mergeCell ref="N109:N111"/>
    <mergeCell ref="O109:O111"/>
    <mergeCell ref="P109:P110"/>
    <mergeCell ref="Q109:Q110"/>
    <mergeCell ref="R109:R110"/>
    <mergeCell ref="S109:S110"/>
    <mergeCell ref="O57:O59"/>
    <mergeCell ref="E81:W81"/>
    <mergeCell ref="E73:W73"/>
    <mergeCell ref="E74:W74"/>
    <mergeCell ref="E75:W75"/>
    <mergeCell ref="E76:W76"/>
    <mergeCell ref="E77:W77"/>
    <mergeCell ref="L83:L85"/>
    <mergeCell ref="M83:M85"/>
    <mergeCell ref="E79:W79"/>
    <mergeCell ref="E80:W80"/>
    <mergeCell ref="K93:K96"/>
    <mergeCell ref="E47:E51"/>
    <mergeCell ref="F47:F51"/>
    <mergeCell ref="H47:H50"/>
    <mergeCell ref="G47:G51"/>
    <mergeCell ref="G37:G41"/>
    <mergeCell ref="K37:K40"/>
    <mergeCell ref="S37:S38"/>
    <mergeCell ref="S42:S43"/>
    <mergeCell ref="S47:S48"/>
    <mergeCell ref="O37:O39"/>
    <mergeCell ref="E42:E46"/>
    <mergeCell ref="F42:F46"/>
    <mergeCell ref="H42:H45"/>
    <mergeCell ref="L37:L39"/>
    <mergeCell ref="M37:M39"/>
    <mergeCell ref="P42:P43"/>
    <mergeCell ref="Q42:Q43"/>
    <mergeCell ref="R42:R43"/>
    <mergeCell ref="P37:P38"/>
    <mergeCell ref="D42:D46"/>
    <mergeCell ref="Q37:Q38"/>
    <mergeCell ref="R37:R38"/>
    <mergeCell ref="D52:D56"/>
    <mergeCell ref="E52:E56"/>
    <mergeCell ref="F52:F56"/>
    <mergeCell ref="G52:G56"/>
    <mergeCell ref="H52:H55"/>
    <mergeCell ref="I52:I55"/>
    <mergeCell ref="J52:J55"/>
    <mergeCell ref="K52:K55"/>
    <mergeCell ref="L52:L54"/>
    <mergeCell ref="D37:D41"/>
    <mergeCell ref="E37:E41"/>
    <mergeCell ref="F37:F41"/>
    <mergeCell ref="H37:H40"/>
    <mergeCell ref="I37:I40"/>
    <mergeCell ref="N37:N39"/>
    <mergeCell ref="P47:P48"/>
    <mergeCell ref="O42:O44"/>
    <mergeCell ref="Q47:Q48"/>
    <mergeCell ref="R47:R48"/>
    <mergeCell ref="O47:O49"/>
    <mergeCell ref="J37:J40"/>
    <mergeCell ref="D57:D61"/>
    <mergeCell ref="E57:E61"/>
    <mergeCell ref="F57:F61"/>
    <mergeCell ref="H57:H60"/>
    <mergeCell ref="N47:N49"/>
    <mergeCell ref="G42:G46"/>
    <mergeCell ref="K42:K45"/>
    <mergeCell ref="G57:G61"/>
    <mergeCell ref="K57:K60"/>
    <mergeCell ref="N57:N59"/>
    <mergeCell ref="I57:I60"/>
    <mergeCell ref="J57:J60"/>
    <mergeCell ref="L57:L59"/>
    <mergeCell ref="M57:M59"/>
    <mergeCell ref="L47:L49"/>
    <mergeCell ref="M47:M49"/>
    <mergeCell ref="K47:K50"/>
    <mergeCell ref="D47:D51"/>
    <mergeCell ref="I47:I50"/>
    <mergeCell ref="J47:J50"/>
    <mergeCell ref="I42:I45"/>
    <mergeCell ref="J42:J45"/>
    <mergeCell ref="L42:L44"/>
    <mergeCell ref="M42:M44"/>
    <mergeCell ref="D18:D26"/>
    <mergeCell ref="E18:E26"/>
    <mergeCell ref="F18:F26"/>
    <mergeCell ref="M32:M34"/>
    <mergeCell ref="R32:R33"/>
    <mergeCell ref="O32:O34"/>
    <mergeCell ref="D32:D36"/>
    <mergeCell ref="E32:E36"/>
    <mergeCell ref="F32:F36"/>
    <mergeCell ref="H32:H35"/>
    <mergeCell ref="I32:I35"/>
    <mergeCell ref="J32:J35"/>
    <mergeCell ref="G32:G36"/>
    <mergeCell ref="D27:D31"/>
    <mergeCell ref="E27:E31"/>
    <mergeCell ref="F27:F31"/>
    <mergeCell ref="L10:M10"/>
    <mergeCell ref="P10:Q10"/>
    <mergeCell ref="L11:M11"/>
    <mergeCell ref="P11:Q11"/>
    <mergeCell ref="K32:K35"/>
    <mergeCell ref="L32:L34"/>
    <mergeCell ref="P13:P14"/>
    <mergeCell ref="P32:P33"/>
    <mergeCell ref="Q32:Q33"/>
    <mergeCell ref="L13:L15"/>
    <mergeCell ref="M13:M15"/>
    <mergeCell ref="N13:N15"/>
    <mergeCell ref="O13:O15"/>
    <mergeCell ref="Q13:Q14"/>
    <mergeCell ref="P27:P28"/>
    <mergeCell ref="Q27:Q28"/>
    <mergeCell ref="D5:J5"/>
    <mergeCell ref="D9:D10"/>
    <mergeCell ref="D7:J7"/>
    <mergeCell ref="G9:G10"/>
    <mergeCell ref="H9:I10"/>
    <mergeCell ref="D6:J6"/>
    <mergeCell ref="D13:D17"/>
    <mergeCell ref="E13:E17"/>
    <mergeCell ref="G13:G17"/>
    <mergeCell ref="H13:H16"/>
    <mergeCell ref="J9:J10"/>
    <mergeCell ref="H11:I11"/>
    <mergeCell ref="E9:F9"/>
    <mergeCell ref="F13:F17"/>
    <mergeCell ref="I13:I16"/>
    <mergeCell ref="J13:J16"/>
    <mergeCell ref="W9:W10"/>
    <mergeCell ref="O9:R9"/>
    <mergeCell ref="K9:N9"/>
    <mergeCell ref="T11:U11"/>
    <mergeCell ref="S9:V9"/>
    <mergeCell ref="T10:U10"/>
    <mergeCell ref="D83:D87"/>
    <mergeCell ref="E83:E87"/>
    <mergeCell ref="D88:D92"/>
    <mergeCell ref="E88:E92"/>
    <mergeCell ref="F88:F92"/>
    <mergeCell ref="G88:G92"/>
    <mergeCell ref="H88:H91"/>
    <mergeCell ref="I88:I91"/>
    <mergeCell ref="J88:J91"/>
    <mergeCell ref="F83:F87"/>
    <mergeCell ref="G83:G87"/>
    <mergeCell ref="H83:H86"/>
    <mergeCell ref="I83:I86"/>
    <mergeCell ref="J83:J86"/>
    <mergeCell ref="K13:K16"/>
    <mergeCell ref="G18:G26"/>
    <mergeCell ref="N32:N34"/>
    <mergeCell ref="L93:L95"/>
    <mergeCell ref="Q88:Q89"/>
    <mergeCell ref="R88:R89"/>
    <mergeCell ref="S88:S89"/>
    <mergeCell ref="K88:K91"/>
    <mergeCell ref="K83:K86"/>
    <mergeCell ref="N88:N90"/>
    <mergeCell ref="O88:O90"/>
    <mergeCell ref="P88:P89"/>
    <mergeCell ref="S93:S94"/>
    <mergeCell ref="N93:N95"/>
    <mergeCell ref="O93:O95"/>
    <mergeCell ref="P93:P94"/>
    <mergeCell ref="Q93:Q94"/>
    <mergeCell ref="R93:R94"/>
    <mergeCell ref="L88:L90"/>
    <mergeCell ref="N83:N85"/>
    <mergeCell ref="O83:O85"/>
    <mergeCell ref="P83:P84"/>
    <mergeCell ref="Q83:Q84"/>
    <mergeCell ref="R83:R84"/>
    <mergeCell ref="S83:S84"/>
    <mergeCell ref="M88:M90"/>
    <mergeCell ref="M98:M100"/>
    <mergeCell ref="N98:N100"/>
    <mergeCell ref="O98:O100"/>
    <mergeCell ref="P98:P99"/>
    <mergeCell ref="Q98:Q99"/>
    <mergeCell ref="R98:R99"/>
    <mergeCell ref="S98:S99"/>
    <mergeCell ref="D93:D97"/>
    <mergeCell ref="E93:E97"/>
    <mergeCell ref="M93:M95"/>
    <mergeCell ref="D98:D102"/>
    <mergeCell ref="E98:E102"/>
    <mergeCell ref="F98:F102"/>
    <mergeCell ref="G98:G102"/>
    <mergeCell ref="H98:H101"/>
    <mergeCell ref="I98:I101"/>
    <mergeCell ref="J98:J101"/>
    <mergeCell ref="K98:K101"/>
    <mergeCell ref="L98:L100"/>
    <mergeCell ref="F93:F97"/>
    <mergeCell ref="G93:G97"/>
    <mergeCell ref="H93:H96"/>
    <mergeCell ref="I93:I96"/>
    <mergeCell ref="J93:J96"/>
    <mergeCell ref="S67:S68"/>
    <mergeCell ref="E62:E66"/>
    <mergeCell ref="F62:F66"/>
    <mergeCell ref="G62:G66"/>
    <mergeCell ref="H62:H65"/>
    <mergeCell ref="I62:I65"/>
    <mergeCell ref="J62:J65"/>
    <mergeCell ref="K62:K65"/>
    <mergeCell ref="L62:L64"/>
    <mergeCell ref="D62:D66"/>
    <mergeCell ref="M103:M105"/>
    <mergeCell ref="M62:M64"/>
    <mergeCell ref="N62:N64"/>
    <mergeCell ref="O62:O64"/>
    <mergeCell ref="P62:P63"/>
    <mergeCell ref="Q62:Q63"/>
    <mergeCell ref="R62:R63"/>
    <mergeCell ref="S62:S63"/>
    <mergeCell ref="D67:D71"/>
    <mergeCell ref="E67:E71"/>
    <mergeCell ref="F67:F71"/>
    <mergeCell ref="G67:G71"/>
    <mergeCell ref="H67:H70"/>
    <mergeCell ref="I67:I70"/>
    <mergeCell ref="J67:J70"/>
    <mergeCell ref="K67:K70"/>
    <mergeCell ref="L67:L69"/>
    <mergeCell ref="M67:M69"/>
    <mergeCell ref="N67:N69"/>
    <mergeCell ref="O67:O69"/>
    <mergeCell ref="P67:P68"/>
    <mergeCell ref="Q67:Q68"/>
    <mergeCell ref="R67:R68"/>
    <mergeCell ref="O18:O20"/>
    <mergeCell ref="S18:S19"/>
    <mergeCell ref="P18:P19"/>
    <mergeCell ref="Q18:Q19"/>
    <mergeCell ref="R18:R19"/>
    <mergeCell ref="K18:K21"/>
    <mergeCell ref="M18:M20"/>
    <mergeCell ref="L18:L20"/>
    <mergeCell ref="N18:N20"/>
    <mergeCell ref="J18:J21"/>
    <mergeCell ref="H18:H21"/>
    <mergeCell ref="I18:I21"/>
    <mergeCell ref="H22:H25"/>
    <mergeCell ref="I22:I25"/>
    <mergeCell ref="J22:J25"/>
    <mergeCell ref="K22:K25"/>
    <mergeCell ref="L22:L24"/>
    <mergeCell ref="M22:M24"/>
    <mergeCell ref="N22:N24"/>
    <mergeCell ref="S22:S23"/>
    <mergeCell ref="O22:O24"/>
    <mergeCell ref="P22:P23"/>
    <mergeCell ref="Q22:Q23"/>
    <mergeCell ref="R22:R23"/>
  </mergeCells>
  <dataValidations count="39">
    <dataValidation allowBlank="1" showInputMessage="1" showErrorMessage="1" prompt="Выберите виды деятельности, выполнив двойной щелчок левой кнопки мыши по ячейке." sqref="G25"/>
    <dataValidation allowBlank="1" showInputMessage="1" showErrorMessage="1" prompt="Для выбора выполните двойной щелчок левой клавиши мыши по соответствующей ячейке." sqref="F25"/>
    <dataValidation allowBlank="1" showInputMessage="1" showErrorMessage="1" prompt="Территория действия тарифа выбирается из выпадающего списка. Доступные для выбора территории определяются на листе &quot;Территории&quot;. Для каждого вида тарифа должна указываться территория, содержащая только те МР/МО, где действует данный вид тарифа." sqref="N24"/>
    <dataValidation allowBlank="1" showInputMessage="1" showErrorMessage="1" prompt="Выберите виды деятельности, выполнив двойной щелчок левой кнопки мыши по ячейке." sqref="G24"/>
    <dataValidation allowBlank="1" showInputMessage="1" showErrorMessage="1" prompt="Для выбора выполните двойной щелчок левой клавиши мыши по соответствующей ячейке." sqref="F24"/>
    <dataValidation allowBlank="1" showInputMessage="1" showErrorMessage="1" prompt="Для выбора выполните двойной щелчок левой клавиши мыши по соответствующей ячейке." sqref="S23"/>
    <dataValidation type="textLength" operator="lessThanOrEqual" allowBlank="1" showInputMessage="1" showErrorMessage="1" errorTitle="Ошибка" error="Допускается ввод не более 900 символов!" sqref="R23">
      <formula1>900</formula1>
    </dataValidation>
    <dataValidation allowBlank="1" showInputMessage="1" showErrorMessage="1" prompt="Территория действия тарифа выбирается из выпадающего списка. Доступные для выбора территории определяются на листе &quot;Территории&quot;. Для каждого вида тарифа должна указываться территория, содержащая только те МР/МО, где действует данный вид тарифа." sqref="N23"/>
    <dataValidation type="textLength" operator="lessThanOrEqual" allowBlank="1" showInputMessage="1" showErrorMessage="1" errorTitle="Ошибка" error="Допускается ввод не более 900 символов!" sqref="J23">
      <formula1>900</formula1>
    </dataValidation>
    <dataValidation allowBlank="1" showInputMessage="1" showErrorMessage="1" prompt="Выберите виды деятельности, выполнив двойной щелчок левой кнопки мыши по ячейке." sqref="G23"/>
    <dataValidation allowBlank="1" showInputMessage="1" showErrorMessage="1" prompt="Для выбора выполните двойной щелчок левой клавиши мыши по соответствующей ячейке." sqref="F23"/>
    <dataValidation type="textLength" operator="lessThanOrEqual" allowBlank="1" showInputMessage="1" showErrorMessage="1" errorTitle="Ошибка" error="Допускается ввод не более 900 символов!" sqref="W22">
      <formula1>900</formula1>
    </dataValidation>
    <dataValidation type="textLength" operator="lessThanOrEqual" allowBlank="1" showInputMessage="1" showErrorMessage="1" errorTitle="Ошибка" error="Допускается ввод не более 900 символов!" sqref="V22">
      <formula1>900</formula1>
    </dataValidation>
    <dataValidation allowBlank="1" showInputMessage="1" showErrorMessage="1" prompt="Для выбора выполните двойной щелчок левой клавиши мыши по соответствующей ячейке." sqref="S22"/>
    <dataValidation type="textLength" operator="lessThanOrEqual" allowBlank="1" showInputMessage="1" showErrorMessage="1" errorTitle="Ошибка" error="Допускается ввод не более 900 символов!" sqref="R22">
      <formula1>900</formula1>
    </dataValidation>
    <dataValidation allowBlank="1" showInputMessage="1" showErrorMessage="1" prompt="Для выбора выполните двойной щелчок левой клавиши мыши по соответствующей ячейке." sqref="O22"/>
    <dataValidation allowBlank="1" showInputMessage="1" showErrorMessage="1" prompt="Территория действия тарифа выбирается из выпадающего списка. Доступные для выбора территории определяются на листе &quot;Территории&quot;. Для каждого вида тарифа должна указываться территория, содержащая только те МР/МО, где действует данный вид тарифа." sqref="N22"/>
    <dataValidation allowBlank="1" showInputMessage="1" showErrorMessage="1" prompt="Для выбора выполните двойной щелчок левой клавиши мыши по соответствующей ячейке." sqref="K22"/>
    <dataValidation type="textLength" operator="lessThanOrEqual" allowBlank="1" showInputMessage="1" showErrorMessage="1" errorTitle="Ошибка" error="Допускается ввод не более 900 символов!" sqref="J22">
      <formula1>900</formula1>
    </dataValidation>
    <dataValidation allowBlank="1" showInputMessage="1" showErrorMessage="1" prompt="Выберите виды деятельности, выполнив двойной щелчок левой кнопки мыши по ячейке." sqref="G22"/>
    <dataValidation allowBlank="1" showInputMessage="1" showErrorMessage="1" prompt="Для выбора выполните двойной щелчок левой клавиши мыши по соответствующей ячейке." sqref="F22"/>
    <dataValidation allowBlank="1" showInputMessage="1" showErrorMessage="1" prompt="Территория действия тарифа выбирается из выпадающего списка. Доступные для выбора территории определяются на листе &quot;Территории&quot;. Для каждого вида тарифа должна указываться территория, содержащая только те МР/МО, где действует данный вид тарифа." sqref="N20"/>
    <dataValidation allowBlank="1" showInputMessage="1" showErrorMessage="1" prompt="Для выбора выполните двойной щелчок левой клавиши мыши по соответствующей ячейке." sqref="S19"/>
    <dataValidation type="textLength" operator="lessThanOrEqual" allowBlank="1" showInputMessage="1" showErrorMessage="1" errorTitle="Ошибка" error="Допускается ввод не более 900 символов!" sqref="R19">
      <formula1>900</formula1>
    </dataValidation>
    <dataValidation allowBlank="1" showInputMessage="1" showErrorMessage="1" prompt="Территория действия тарифа выбирается из выпадающего списка. Доступные для выбора территории определяются на листе &quot;Территории&quot;. Для каждого вида тарифа должна указываться территория, содержащая только те МР/МО, где действует данный вид тарифа." sqref="N19"/>
    <dataValidation type="textLength" operator="lessThanOrEqual" allowBlank="1" showInputMessage="1" showErrorMessage="1" errorTitle="Ошибка" error="Допускается ввод не более 900 символов!" sqref="J19">
      <formula1>900</formula1>
    </dataValidation>
    <dataValidation type="textLength" operator="lessThanOrEqual" allowBlank="1" showInputMessage="1" showErrorMessage="1" errorTitle="Ошибка" error="Допускается ввод не более 900 символов!" sqref="W18">
      <formula1>900</formula1>
    </dataValidation>
    <dataValidation type="textLength" operator="lessThanOrEqual" allowBlank="1" showInputMessage="1" showErrorMessage="1" errorTitle="Ошибка" error="Допускается ввод не более 900 символов!" sqref="V18">
      <formula1>900</formula1>
    </dataValidation>
    <dataValidation allowBlank="1" showInputMessage="1" showErrorMessage="1" prompt="Для выбора выполните двойной щелчок левой клавиши мыши по соответствующей ячейке." sqref="S18"/>
    <dataValidation type="textLength" operator="lessThanOrEqual" allowBlank="1" showInputMessage="1" showErrorMessage="1" errorTitle="Ошибка" error="Допускается ввод не более 900 символов!" sqref="R18">
      <formula1>900</formula1>
    </dataValidation>
    <dataValidation allowBlank="1" showInputMessage="1" showErrorMessage="1" prompt="Для выбора выполните двойной щелчок левой клавиши мыши по соответствующей ячейке." sqref="O18"/>
    <dataValidation allowBlank="1" showInputMessage="1" showErrorMessage="1" prompt="Территория действия тарифа выбирается из выпадающего списка. Доступные для выбора территории определяются на листе &quot;Территории&quot;. Для каждого вида тарифа должна указываться территория, содержащая только те МР/МО, где действует данный вид тарифа." sqref="N18"/>
    <dataValidation allowBlank="1" showInputMessage="1" showErrorMessage="1" prompt="Для выбора выполните двойной щелчок левой клавиши мыши по соответствующей ячейке." sqref="K18"/>
    <dataValidation type="textLength" operator="lessThanOrEqual" allowBlank="1" showInputMessage="1" showErrorMessage="1" errorTitle="Ошибка" error="Допускается ввод не более 900 символов!" sqref="J18">
      <formula1>900</formula1>
    </dataValidation>
    <dataValidation type="list" allowBlank="1" showInputMessage="1" showErrorMessage="1" errorTitle="Ошибка" error="Выберите значение из списка" prompt="Выберите значение из списка" sqref="E18:E21 E26">
      <formula1>kind_of_tariff_RHEAT</formula1>
    </dataValidation>
    <dataValidation allowBlank="1" showInputMessage="1" showErrorMessage="1" prompt="Выберите виды деятельности, выполнив двойной щелчок левой кнопки мыши по ячейке." sqref="G109:G123 G125:G139 G83:G107 G13:G21 G26:G71"/>
    <dataValidation type="list" allowBlank="1" showInputMessage="1" showErrorMessage="1" errorTitle="Ошибка" error="Выберите значение из списка" prompt="Территория действия тарифа выбирается из выпадающего списка. Доступные для выбора территории определяются на листе &quot;Территории&quot;. Для каждого вида тарифа должна указываться территория, содержащая только те МР/МО, где действует данный вид тарифа." sqref="N52:N54 N47:N49 N32:N34 N42:N44 N13:N15 N37:N39 N83:N85 N98:N100 N88:N90 N93:N95 N57:N59 N109:N111 N114:N116 N130:N132 N125:N127 N62:N64 N67:N69 N103:N105 N119:N121 N135:N137 N27:N29">
      <formula1>DESCRIPTION_TERRITORY</formula1>
    </dataValidation>
    <dataValidation type="textLength" operator="lessThanOrEqual" allowBlank="1" showInputMessage="1" showErrorMessage="1" errorTitle="Ошибка" error="Допускается ввод не более 900 символов!" sqref="J42:J43 J13:J14 J52:J53 R52:R53 V52:W52 J47:J48 J32:J33 R42:R43 R13:R14 R47:R48 R32:R33 V42:W42 V13:W13 V47:W47 V32:W32 J37:J38 R37:R38 V37:W37 J83:J84 R83:R84 V83:W83 J88:J89 R88:R89 V88:W88 J98:J99 R98:R99 V98:W98 J93:J94 R93:R94 V93:W93 J57:J58 R57:R58 V57:W57 J109:J110 R109:R110 V109:W109 J114:J115 R114:R115 V114:W114 J130:J131 R130:R131 V130:W130 J125:J126 R125:R126 V125:W125 J62:J63 R62:R63 V62:W62 J67:J68 R67:R68 V67:W67 J103:J104 R103:R104 V103:W103 J119:J120 R119:R120 V119:W119 J135:J136 R135:R136 V135:W135 J27:J28 R27:R28 V27:W27">
      <formula1>900</formula1>
    </dataValidation>
    <dataValidation allowBlank="1" showInputMessage="1" showErrorMessage="1" prompt="Для выбора выполните двойной щелчок левой клавиши мыши по соответствующей ячейке." sqref="K42:K43 K13:K14 K52:K53 O52:O53 S52:S53 K47:K48 K32:K33 O42:O43 O47:O48 O32:O33 S42:S43 S47:S48 S32:S33 O13:O14 S13:S14 K37:K38 O37:O38 S37:S38 K83:K84 O83:O84 S83:S84 K88:K89 O88:O89 S88:S89 K98:K99 O98:O99 S98:S99 K93:K94 O93:O94 S57:S58 S93:S94 K57:K58 O57:O58 O135:O136 O109:O110 S109:S110 O114:O115 S114:S115 K109:K110 K114:K115 S103:S104 K130:K131 O130:O131 K125:K126 O125:O126 S130:S131 O119:O120 S125:S126 O62:O63 S62:S63 K62:K63 K67:K68 O67:O68 S67:S68 F83:F107 K103:K104 O103:O104 F109:F123 S119:S120 K119:K120 F125:F139 S135:S136 K135:K136 F13:F21 F26:F71 K27:K28 O27:O28 S27:S28"/>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5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73FFD95B-AB4E-A8CF-0907-8A9C84CB5856}" mc:Ignorable="x14ac xr xr2 xr3">
  <sheetPr>
    <tabColor theme="2" tint="-0.1"/>
  </sheetPr>
  <dimension ref="A1:V30"/>
  <sheetViews>
    <sheetView showGridLines="0" zoomScale="90" workbookViewId="0">
      <pane xSplit="8" ySplit="18" topLeftCell="I19" activePane="bottomRight" state="frozen"/>
      <selection pane="bottomLeft" activeCell="A19" sqref="A19"/>
      <selection pane="topRight" activeCell="I1" sqref="I1"/>
      <selection pane="bottomRight" activeCell="A1" sqref="A1"/>
    </sheetView>
  </sheetViews>
  <sheetFormatPr defaultColWidth="10.57421875" customHeight="1" defaultRowHeight="15"/>
  <cols>
    <col min="1" max="1" style="1633" width="9.140625" hidden="1" customWidth="1"/>
    <col min="2" max="2" style="1636" width="9.140625" hidden="1" customWidth="1"/>
    <col min="3" max="3" style="684" width="4.00390625" customWidth="1"/>
    <col min="4" max="4" style="1636" width="6.00390625" customWidth="1"/>
    <col min="5" max="5" style="1636" width="47.00390625" customWidth="1"/>
    <col min="6" max="6" style="1636" width="9.00390625" customWidth="1"/>
    <col min="7" max="7" style="1636" width="25.7109375" hidden="1" customWidth="1"/>
    <col min="8" max="8" style="1636" width="34.00390625" hidden="1" customWidth="1"/>
    <col min="9" max="9" style="1636" width="25.7109375" customWidth="1"/>
    <col min="10" max="10" style="1636" width="33.00390625" customWidth="1"/>
    <col min="11" max="11" style="1367" width="50.00390625" customWidth="1"/>
    <col min="12" max="20" style="1636" width="10.00390625" customWidth="1"/>
    <col min="21" max="21" style="676" width="10.00390625" customWidth="1"/>
    <col min="22" max="22" style="1636" width="10.57421875" hidden="1"/>
  </cols>
  <sheetData>
    <row s="1367" customFormat="1" customHeight="1" ht="22.5" hidden="1">
      <c r="C1" s="673"/>
      <c r="G1" s="418">
        <v>4</v>
      </c>
      <c r="I1" s="418">
        <v>4</v>
      </c>
      <c r="U1" s="421"/>
      <c r="V1" s="418" t="s">
        <v>14</v>
      </c>
    </row>
    <row s="1636" customFormat="1" customHeight="1" ht="15" hidden="1">
      <c r="A2" s="363"/>
      <c r="C2" s="177"/>
      <c r="D2" s="347"/>
      <c r="E2" s="674"/>
      <c r="F2" s="523"/>
      <c r="G2" s="617"/>
      <c r="H2" s="617"/>
      <c r="I2" s="617"/>
      <c r="J2" s="617"/>
      <c r="U2" s="675"/>
      <c r="V2" s="510">
        <v>0</v>
      </c>
    </row>
    <row s="1367" customFormat="1" customHeight="1" ht="15" hidden="1">
      <c r="C3" s="673"/>
      <c r="U3" s="421"/>
      <c r="V3" s="418">
        <v>0</v>
      </c>
    </row>
    <row customHeight="1" ht="15.75">
      <c r="C4" s="177"/>
      <c r="D4" s="510"/>
      <c r="E4" s="510"/>
      <c r="F4" s="510"/>
      <c r="G4" s="510"/>
      <c r="H4" s="510"/>
      <c r="I4" s="510"/>
      <c r="J4" s="510"/>
      <c r="V4" s="506">
        <v>15</v>
      </c>
    </row>
    <row customHeight="1" ht="66">
      <c r="C5" s="177"/>
      <c r="D5" s="2238" t="s">
        <v>1177</v>
      </c>
      <c r="E5" s="2238"/>
      <c r="F5" s="2238"/>
      <c r="G5" s="2238"/>
      <c r="H5" s="2238"/>
      <c r="I5" s="2238"/>
      <c r="J5" s="2238"/>
      <c r="V5" s="506">
        <v>63</v>
      </c>
    </row>
    <row customHeight="1" ht="15.75">
      <c r="C6" s="177"/>
      <c r="D6" s="2177" t="str">
        <f>IF(org=0,"Не определено",org)</f>
        <v>ПАО "КГК"</v>
      </c>
      <c r="E6" s="2177"/>
      <c r="F6" s="2177"/>
      <c r="G6" s="2177"/>
      <c r="H6" s="2177"/>
      <c r="I6" s="2177"/>
      <c r="J6" s="2177"/>
      <c r="K6" s="538"/>
      <c r="V6" s="506">
        <v>15</v>
      </c>
    </row>
    <row customHeight="1" ht="15.75">
      <c r="C7" s="177"/>
      <c r="D7" s="753"/>
      <c r="E7" s="510"/>
      <c r="F7" s="510"/>
      <c r="G7" s="538">
        <v>22</v>
      </c>
      <c r="I7" s="538">
        <v>1</v>
      </c>
      <c r="J7" s="753"/>
      <c r="V7" s="506">
        <v>15</v>
      </c>
    </row>
    <row s="1636" customFormat="1" customHeight="1" ht="1.05">
      <c r="A8" s="760"/>
      <c r="C8" s="177"/>
      <c r="D8" s="510"/>
      <c r="E8" s="510"/>
      <c r="F8" s="510"/>
      <c r="G8" s="538"/>
      <c r="H8" s="753"/>
      <c r="I8" s="538" t="s">
        <v>125</v>
      </c>
      <c r="J8" s="753"/>
      <c r="K8" s="418"/>
      <c r="U8" s="676"/>
      <c r="V8" s="759">
        <v>1</v>
      </c>
    </row>
    <row customHeight="1" ht="15.75">
      <c r="C9" s="177"/>
      <c r="D9" s="712"/>
      <c r="E9" s="2368" t="s">
        <v>114</v>
      </c>
      <c r="F9" s="2369"/>
      <c r="G9" s="2396" t="str">
        <f>IF(G8="","",INDEX(DIFFERENTIATION_UNMERGE_VD,MATCH(G8,DIFFERENTIATION_ID_DIFF,0)))</f>
        <v/>
      </c>
      <c r="H9" s="2397"/>
      <c r="I9" s="2396">
        <f>IF(I8="","",INDEX(DIFFERENTIATION_UNMERGE_VD,MATCH(I8,DIFFERENTIATION_ID_DIFF,0)))</f>
        <v>0</v>
      </c>
      <c r="J9" s="2397"/>
      <c r="K9" s="2176" t="s">
        <v>318</v>
      </c>
      <c r="V9" s="506">
        <v>15</v>
      </c>
    </row>
    <row s="1636" customFormat="1" customHeight="1" ht="15.75">
      <c r="A10" s="760"/>
      <c r="C10" s="177"/>
      <c r="D10" s="712"/>
      <c r="E10" s="2368" t="s">
        <v>583</v>
      </c>
      <c r="F10" s="2369"/>
      <c r="G10" s="2396" t="str">
        <f>IF(G8="","",INDEX(DIFFERENTIATION_UNMERGE_AREA,MATCH(G8,DIFFERENTIATION_ID_DIFF,0)))</f>
        <v/>
      </c>
      <c r="H10" s="2397"/>
      <c r="I10" s="2396" t="str">
        <f>IF(I8="","",INDEX(DIFFERENTIATION_UNMERGE_AREA,MATCH(I8,DIFFERENTIATION_ID_DIFF,0)))</f>
        <v/>
      </c>
      <c r="J10" s="2397"/>
      <c r="K10" s="2200"/>
      <c r="U10" s="676"/>
      <c r="V10" s="759">
        <v>15</v>
      </c>
    </row>
    <row s="1636" customFormat="1" customHeight="1" ht="15.75">
      <c r="A11" s="760"/>
      <c r="C11" s="177"/>
      <c r="D11" s="712"/>
      <c r="E11" s="2368" t="s">
        <v>584</v>
      </c>
      <c r="F11" s="2369"/>
      <c r="G11" s="2396" t="str">
        <f>IF(G8="","",INDEX(DIFFERENTIATION_UNMERGE_SYSTEM,MATCH(G8,DIFFERENTIATION_ID_DIFF,0)))</f>
        <v/>
      </c>
      <c r="H11" s="2397"/>
      <c r="I11" s="2396" t="str">
        <f>IF(I8="","",INDEX(DIFFERENTIATION_UNMERGE_SYSTEM,MATCH(I8,DIFFERENTIATION_ID_DIFF,0)))</f>
        <v>без дифференциации</v>
      </c>
      <c r="J11" s="2397"/>
      <c r="K11" s="2200"/>
      <c r="U11" s="676"/>
      <c r="V11" s="759">
        <v>15</v>
      </c>
    </row>
    <row s="1636" customFormat="1" customHeight="1" ht="15.75">
      <c r="A12" s="760"/>
      <c r="C12" s="177"/>
      <c r="D12" s="2370" t="s">
        <v>317</v>
      </c>
      <c r="E12" s="2371"/>
      <c r="F12" s="2371"/>
      <c r="G12" s="888"/>
      <c r="H12" s="888"/>
      <c r="I12" s="888"/>
      <c r="J12" s="888"/>
      <c r="K12" s="2200"/>
      <c r="U12" s="676"/>
      <c r="V12" s="759">
        <v>15</v>
      </c>
    </row>
    <row customHeight="1" ht="35.699999999999996">
      <c r="C13" s="177"/>
      <c r="D13" s="806" t="s">
        <v>89</v>
      </c>
      <c r="E13" s="808" t="s">
        <v>319</v>
      </c>
      <c r="F13" s="808" t="s">
        <v>585</v>
      </c>
      <c r="G13" s="809" t="s">
        <v>320</v>
      </c>
      <c r="H13" s="808" t="s">
        <v>407</v>
      </c>
      <c r="I13" s="809" t="s">
        <v>320</v>
      </c>
      <c r="J13" s="808" t="s">
        <v>407</v>
      </c>
      <c r="K13" s="2233"/>
      <c r="V13" s="506">
        <v>34</v>
      </c>
    </row>
    <row customHeight="1" ht="15" hidden="1">
      <c r="C14" s="177"/>
      <c r="D14" s="594" t="s">
        <v>118</v>
      </c>
      <c r="E14" s="594" t="s">
        <v>103</v>
      </c>
      <c r="F14" s="594" t="s">
        <v>91</v>
      </c>
      <c r="G14" s="660" t="str">
        <f>G1&amp;".1"</f>
        <v>4.1</v>
      </c>
      <c r="H14" s="660"/>
      <c r="I14" s="660" t="str">
        <f>I1&amp;".1"</f>
        <v>4.1</v>
      </c>
      <c r="J14" s="660"/>
      <c r="K14" s="290"/>
      <c r="V14" s="506">
        <v>0</v>
      </c>
    </row>
    <row customHeight="1" ht="22.5" hidden="1">
      <c r="A15" s="506"/>
      <c r="C15" s="527"/>
      <c r="D15" s="522">
        <v>1</v>
      </c>
      <c r="E15" s="678" t="s">
        <v>827</v>
      </c>
      <c r="F15" s="522" t="s">
        <v>828</v>
      </c>
      <c r="G15" s="679"/>
      <c r="H15" s="679"/>
      <c r="I15" s="679"/>
      <c r="J15" s="679"/>
      <c r="K15" s="290" t="s">
        <v>829</v>
      </c>
      <c r="V15" s="506">
        <v>0</v>
      </c>
    </row>
    <row customHeight="1" ht="22.5" hidden="1">
      <c r="A16" s="506"/>
      <c r="C16" s="527"/>
      <c r="D16" s="522">
        <v>2</v>
      </c>
      <c r="E16" s="280" t="s">
        <v>830</v>
      </c>
      <c r="F16" s="522" t="s">
        <v>831</v>
      </c>
      <c r="G16" s="679"/>
      <c r="H16" s="679"/>
      <c r="I16" s="679"/>
      <c r="J16" s="679"/>
      <c r="K16" s="290" t="s">
        <v>832</v>
      </c>
      <c r="V16" s="506">
        <v>0</v>
      </c>
    </row>
    <row customHeight="1" ht="123.75" hidden="1">
      <c r="A17" s="506"/>
      <c r="C17" s="527"/>
      <c r="D17" s="522">
        <v>3</v>
      </c>
      <c r="E17" s="280" t="s">
        <v>1178</v>
      </c>
      <c r="F17" s="522" t="s">
        <v>323</v>
      </c>
      <c r="G17" s="679"/>
      <c r="H17" s="679"/>
      <c r="I17" s="679"/>
      <c r="J17" s="679"/>
      <c r="K17" s="290" t="s">
        <v>1179</v>
      </c>
      <c r="V17" s="506">
        <v>0</v>
      </c>
    </row>
    <row customHeight="1" ht="48.29999999999999">
      <c r="A18" s="506"/>
      <c r="C18" s="527"/>
      <c r="D18" s="522">
        <v>3</v>
      </c>
      <c r="E18" s="280" t="s">
        <v>833</v>
      </c>
      <c r="F18" s="522" t="s">
        <v>323</v>
      </c>
      <c r="G18" s="810" t="s">
        <v>323</v>
      </c>
      <c r="H18" s="811" t="s">
        <v>323</v>
      </c>
      <c r="I18" s="522" t="s">
        <v>323</v>
      </c>
      <c r="J18" s="579" t="s">
        <v>323</v>
      </c>
      <c r="K18" s="290" t="s">
        <v>1180</v>
      </c>
      <c r="V18" s="506">
        <v>46</v>
      </c>
    </row>
    <row customHeight="1" ht="35.699999999999996">
      <c r="A19" s="506"/>
      <c r="C19" s="527"/>
      <c r="D19" s="540" t="s">
        <v>341</v>
      </c>
      <c r="E19" s="560" t="s">
        <v>835</v>
      </c>
      <c r="F19" s="522" t="s">
        <v>836</v>
      </c>
      <c r="G19" s="818"/>
      <c r="H19" s="107"/>
      <c r="I19" s="818"/>
      <c r="J19" s="819"/>
      <c r="K19" s="680"/>
      <c r="V19" s="506">
        <v>34</v>
      </c>
    </row>
    <row customHeight="1" ht="35.699999999999996">
      <c r="A20" s="506"/>
      <c r="C20" s="527"/>
      <c r="D20" s="1891" t="s">
        <v>349</v>
      </c>
      <c r="E20" s="560" t="s">
        <v>837</v>
      </c>
      <c r="F20" s="522" t="s">
        <v>838</v>
      </c>
      <c r="G20" s="818"/>
      <c r="H20" s="107"/>
      <c r="I20" s="818"/>
      <c r="J20" s="107"/>
      <c r="K20" s="680"/>
      <c r="V20" s="506">
        <v>34</v>
      </c>
    </row>
    <row customHeight="1" ht="48.29999999999999">
      <c r="A21" s="506"/>
      <c r="C21" s="527"/>
      <c r="D21" s="1891" t="s">
        <v>351</v>
      </c>
      <c r="E21" s="560" t="s">
        <v>839</v>
      </c>
      <c r="F21" s="522" t="s">
        <v>590</v>
      </c>
      <c r="G21" s="681"/>
      <c r="H21" s="107"/>
      <c r="I21" s="681"/>
      <c r="J21" s="107"/>
      <c r="K21" s="680"/>
      <c r="V21" s="506">
        <v>46</v>
      </c>
    </row>
    <row customHeight="1" ht="67.5" hidden="1">
      <c r="A22" s="506"/>
      <c r="C22" s="527"/>
      <c r="D22" s="522">
        <v>5</v>
      </c>
      <c r="E22" s="280" t="s">
        <v>1181</v>
      </c>
      <c r="F22" s="522" t="s">
        <v>577</v>
      </c>
      <c r="G22" s="682"/>
      <c r="H22" s="683"/>
      <c r="I22" s="682"/>
      <c r="J22" s="683"/>
      <c r="K22" s="290" t="s">
        <v>1182</v>
      </c>
      <c r="V22" s="506">
        <v>0</v>
      </c>
    </row>
    <row customHeight="1" ht="33.75" hidden="1">
      <c r="C23" s="452"/>
      <c r="D23" s="522">
        <v>6</v>
      </c>
      <c r="E23" s="280" t="s">
        <v>1183</v>
      </c>
      <c r="F23" s="522" t="s">
        <v>1184</v>
      </c>
      <c r="G23" s="682"/>
      <c r="H23" s="682"/>
      <c r="I23" s="682"/>
      <c r="J23" s="682"/>
      <c r="K23" s="290" t="s">
        <v>1185</v>
      </c>
      <c r="V23" s="506">
        <v>0</v>
      </c>
    </row>
    <row customHeight="1" ht="15.75">
      <c r="V24" s="506">
        <v>15</v>
      </c>
    </row>
    <row customHeight="1" ht="15.75">
      <c r="V25" s="506">
        <v>15</v>
      </c>
    </row>
    <row customHeight="1" ht="15.75">
      <c r="V26" s="506">
        <v>15</v>
      </c>
    </row>
    <row customHeight="1" ht="15.75">
      <c r="V27" s="506">
        <v>15</v>
      </c>
    </row>
    <row customHeight="1" ht="15.75">
      <c r="V28" s="506">
        <v>15</v>
      </c>
    </row>
    <row customHeight="1" ht="15.75">
      <c r="J29" s="820"/>
      <c r="V29" s="506">
        <v>15</v>
      </c>
    </row>
    <row customHeight="1" ht="22.5" hidden="1">
      <c r="A30" s="450" t="s">
        <v>83</v>
      </c>
      <c r="B30" s="506">
        <v>0</v>
      </c>
      <c r="C30" s="684">
        <v>4</v>
      </c>
      <c r="D30" s="506">
        <v>6</v>
      </c>
      <c r="E30" s="506">
        <v>47</v>
      </c>
      <c r="F30" s="506">
        <v>9</v>
      </c>
      <c r="G30" s="759">
        <v>0</v>
      </c>
      <c r="H30" s="759">
        <v>0</v>
      </c>
      <c r="I30" s="506">
        <v>25</v>
      </c>
      <c r="J30" s="506">
        <v>33</v>
      </c>
      <c r="K30" s="418">
        <v>50</v>
      </c>
      <c r="L30" s="506">
        <v>10</v>
      </c>
      <c r="M30" s="506">
        <v>10</v>
      </c>
      <c r="N30" s="506">
        <v>10</v>
      </c>
      <c r="O30" s="506">
        <v>10</v>
      </c>
      <c r="P30" s="506">
        <v>10</v>
      </c>
      <c r="Q30" s="506">
        <v>10</v>
      </c>
      <c r="R30" s="506">
        <v>10</v>
      </c>
      <c r="S30" s="506">
        <v>10</v>
      </c>
      <c r="T30" s="506">
        <v>10</v>
      </c>
      <c r="U30" s="676">
        <v>10</v>
      </c>
      <c r="V30" s="506">
        <v>23</v>
      </c>
    </row>
  </sheetData>
  <sheetProtection formatColumns="0" formatRows="0" autoFilter="0" sort="0" insertRows="0" insertColumns="1" deleteRows="0" deleteColumns="0"/>
  <mergeCells count="13">
    <mergeCell ref="D5:J5"/>
    <mergeCell ref="D6:J6"/>
    <mergeCell ref="K9:K13"/>
    <mergeCell ref="I9:J9"/>
    <mergeCell ref="E9:F9"/>
    <mergeCell ref="E10:F10"/>
    <mergeCell ref="E11:F11"/>
    <mergeCell ref="I10:J10"/>
    <mergeCell ref="I11:J11"/>
    <mergeCell ref="G9:H9"/>
    <mergeCell ref="G10:H10"/>
    <mergeCell ref="G11:H11"/>
    <mergeCell ref="D12:F12"/>
  </mergeCells>
  <dataValidations count="4">
    <dataValidation type="decimal" allowBlank="1" showErrorMessage="1" errorTitle="Ошибка" error="Допускается ввод только неотрицательных чисел!" sqref="G21 I21">
      <formula1>0</formula1>
      <formula2>9.99999999999999E+23</formula2>
    </dataValidation>
    <dataValidation allowBlank="1" showInputMessage="1" showErrorMessage="1" prompt="Количество поданных заявок на подключение (технологическое присоединение) к системе теплоснабжения в течение квартала, шт." sqref="E15 E13"/>
    <dataValidation type="whole" allowBlank="1" showErrorMessage="1" errorTitle="Ошибка" error="Допускается ввод только неотрицательных целых чисел!" sqref="G19:G20 I19:I20">
      <formula1>0</formula1>
      <formula2>9.99999999999999E+23</formula2>
    </dataValidation>
    <dataValidation type="textLength" operator="lessThanOrEqual" allowBlank="1" showInputMessage="1" showErrorMessage="1" errorTitle="Ошибка" error="Допускается ввод не более 900 символов!" sqref="H19:H21 J19:J21">
      <formula1>900</formula1>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51.xml><?xml version="1.0" encoding="utf-8"?>
<worksheet xmlns="http://schemas.openxmlformats.org/spreadsheetml/2006/main" xmlns:r="http://schemas.openxmlformats.org/officeDocument/2006/relationships" xmlns:mc="http://schemas.openxmlformats.org/markup-compatibility/2006" xmlns:xdr="http://schemas.openxmlformats.org/drawingml/2006/spreadsheetDrawing" xmlns:x14ac="http://schemas.microsoft.com/office/spreadsheetml/2009/9/ac" xmlns:xr="http://schemas.microsoft.com/office/spreadsheetml/2014/revision" xmlns:xr2="http://schemas.microsoft.com/office/spreadsheetml/2015/revision2" xmlns:xr3="http://schemas.microsoft.com/office/spreadsheetml/2016/revision3" xr:uid="{90A3F8F8-42DF-9758-3C66-3373B68DBCA8}" mc:Ignorable="x14ac xr xr2 xr3">
  <sheetPr>
    <tabColor rgb="FFFFCC99"/>
  </sheetPr>
  <dimension ref="A1:EL118"/>
  <sheetViews>
    <sheetView topLeftCell="A1" showGridLines="0" workbookViewId="0">
      <selection activeCell="A1" sqref="A1"/>
    </sheetView>
  </sheetViews>
  <sheetFormatPr defaultColWidth="9.140625" customHeight="1" defaultRowHeight="11.25"/>
  <cols>
    <col min="1" max="1" style="1203" width="32.57421875" customWidth="1"/>
    <col min="2" max="2" style="1851" width="11.00390625" customWidth="1"/>
    <col min="3" max="3" style="1851" width="9.140625"/>
    <col min="4" max="4" style="1851" width="26.57421875" customWidth="1"/>
    <col min="5" max="5" style="1824" width="36.8515625" customWidth="1"/>
    <col min="6" max="6" style="1824" width="23.57421875" customWidth="1"/>
    <col min="7" max="7" style="1824" width="31.421875" customWidth="1"/>
    <col min="8" max="8" style="1824" width="40.8515625" customWidth="1"/>
    <col min="9" max="9" style="1824" width="14.57421875" customWidth="1"/>
    <col min="10" max="10" style="1824" width="26.8515625" customWidth="1"/>
    <col min="11" max="11" style="1824" width="50.00390625" customWidth="1"/>
    <col min="12" max="12" style="1824" width="52.421875" customWidth="1"/>
    <col min="13" max="13" style="1824" width="10.7109375" customWidth="1"/>
    <col min="14" max="14" style="1824" width="55.140625" customWidth="1"/>
    <col min="15" max="15" style="1824" width="31.8515625" customWidth="1"/>
    <col min="16" max="16" style="1824" width="23.8515625" customWidth="1"/>
    <col min="17" max="17" style="1824" width="46.57421875" customWidth="1"/>
    <col min="18" max="18" style="1824" width="24.00390625" customWidth="1"/>
    <col min="19" max="19" style="1824" width="20.57421875" customWidth="1"/>
    <col min="20" max="20" style="1824" width="22.00390625" customWidth="1"/>
    <col min="21" max="22" style="1824" width="26.421875" customWidth="1"/>
    <col min="23" max="23" style="1824" width="8.28125" hidden="1" customWidth="1"/>
    <col min="24" max="24" style="1824" width="59.7109375" customWidth="1"/>
    <col min="25" max="25" style="1824" width="49.140625" customWidth="1"/>
    <col min="26" max="26" style="1824" width="11.140625" customWidth="1"/>
    <col min="27" max="30" style="1824" width="29.00390625" customWidth="1"/>
    <col min="31" max="31" style="1824" width="9.140625"/>
    <col min="32" max="32" style="1824" width="34.7109375" customWidth="1"/>
    <col min="33" max="33" style="1824" width="9.140625"/>
    <col min="34" max="35" style="1824" width="34.421875" customWidth="1"/>
    <col min="36" max="36" style="1824" width="9.140625"/>
    <col min="37" max="37" style="1824" width="24.57421875" customWidth="1"/>
    <col min="38" max="38" style="1824" width="9.140625"/>
    <col min="39" max="39" style="1824" width="26.140625" customWidth="1"/>
    <col min="40" max="40" style="1824" width="1.7109375" customWidth="1"/>
    <col min="41" max="41" style="1824" width="9.140625"/>
    <col min="42" max="43" style="1824" width="47.8515625" customWidth="1"/>
    <col min="44" max="44" style="1824" width="1.7109375" customWidth="1"/>
    <col min="45" max="45" style="1824" width="21.421875" customWidth="1"/>
    <col min="46" max="46" style="1824" width="1.7109375" customWidth="1"/>
    <col min="47" max="47" style="1824" width="31.28125" customWidth="1"/>
    <col min="48" max="48" style="1824" width="1.7109375" customWidth="1"/>
    <col min="49" max="50" style="1824" width="9.140625"/>
    <col min="51" max="51" style="1824" width="3.7109375" customWidth="1"/>
    <col min="52" max="52" style="1824" width="60.8515625" customWidth="1"/>
    <col min="53" max="53" style="1824" width="49.28125" customWidth="1"/>
    <col min="54" max="54" style="1824" width="35.140625" customWidth="1"/>
    <col min="55" max="55" style="1824" width="9.140625"/>
    <col min="56" max="56" style="1824" width="1.7109375" customWidth="1"/>
    <col min="57" max="57" style="1067" width="12.57421875" customWidth="1"/>
    <col min="58" max="58" style="1067" width="14.28125" customWidth="1"/>
    <col min="59" max="59" style="1824" width="30.7109375" customWidth="1"/>
    <col min="60" max="60" style="1841" width="40.7109375" customWidth="1"/>
    <col min="61" max="61" style="1841" width="15.00390625" customWidth="1"/>
    <col min="62" max="62" style="1841" width="40.7109375" customWidth="1"/>
    <col min="63" max="63" style="1841" width="2.7109375" customWidth="1"/>
    <col min="64" max="64" style="1841" width="44.7109375" customWidth="1"/>
    <col min="65" max="65" style="1841" width="2.7109375" customWidth="1"/>
    <col min="66" max="66" style="1841" width="40.7109375" customWidth="1"/>
    <col min="67" max="68" style="1824" width="9.140625"/>
    <col min="69" max="69" style="1824" width="18.140625" customWidth="1"/>
    <col min="70" max="70" style="1824" width="57.8515625" customWidth="1"/>
    <col min="71" max="71" style="1824" width="1.7109375" customWidth="1"/>
    <col min="72" max="72" style="1824" width="22.57421875" customWidth="1"/>
    <col min="73" max="73" style="1824" width="57.8515625" customWidth="1"/>
    <col min="74" max="74" style="1824" width="1.7109375" customWidth="1"/>
    <col min="75" max="75" style="1824" width="22.57421875" customWidth="1"/>
    <col min="76" max="76" style="1824" width="57.8515625" customWidth="1"/>
    <col min="77" max="77" style="1824" width="1.7109375" customWidth="1"/>
    <col min="78" max="78" style="1824" width="22.57421875" customWidth="1"/>
    <col min="79" max="79" style="1824" width="57.8515625" customWidth="1"/>
    <col min="80" max="81" style="1824" width="9.140625"/>
    <col min="82" max="82" style="1824" width="49.57421875" customWidth="1"/>
  </cols>
  <sheetData>
    <row s="1428" customFormat="1" customHeight="1" ht="11.25">
      <c r="A1" s="1068" t="s">
        <v>1186</v>
      </c>
      <c r="B1" s="1068" t="s">
        <v>1187</v>
      </c>
      <c r="C1" s="1068" t="s">
        <v>1188</v>
      </c>
      <c r="D1" s="1068" t="s">
        <v>1189</v>
      </c>
      <c r="E1" s="1068" t="s">
        <v>1190</v>
      </c>
      <c r="F1" s="1068" t="s">
        <v>1191</v>
      </c>
      <c r="G1" s="1068" t="s">
        <v>1192</v>
      </c>
      <c r="H1" s="1068" t="s">
        <v>1193</v>
      </c>
      <c r="I1" s="1068" t="s">
        <v>1194</v>
      </c>
      <c r="J1" s="1068" t="s">
        <v>1195</v>
      </c>
      <c r="K1" s="1068" t="s">
        <v>1196</v>
      </c>
      <c r="L1" s="1068" t="s">
        <v>1197</v>
      </c>
      <c r="M1" s="1068"/>
      <c r="N1" s="1068" t="s">
        <v>1198</v>
      </c>
      <c r="O1" s="1068" t="s">
        <v>1199</v>
      </c>
      <c r="P1" s="1068" t="s">
        <v>1200</v>
      </c>
      <c r="Q1" s="1068" t="s">
        <v>1201</v>
      </c>
      <c r="R1" s="1068" t="s">
        <v>1202</v>
      </c>
      <c r="S1" s="1068" t="s">
        <v>1203</v>
      </c>
      <c r="T1" s="1068" t="s">
        <v>1204</v>
      </c>
      <c r="U1" s="1068" t="s">
        <v>1205</v>
      </c>
      <c r="V1" s="1068"/>
      <c r="W1" s="798" t="s">
        <v>1206</v>
      </c>
      <c r="X1" s="1068" t="s">
        <v>1207</v>
      </c>
      <c r="Y1" s="1068" t="s">
        <v>1208</v>
      </c>
      <c r="Z1" s="1068"/>
      <c r="AA1" s="1068" t="s">
        <v>1209</v>
      </c>
      <c r="AB1" s="1068"/>
      <c r="AC1" s="1068" t="s">
        <v>1210</v>
      </c>
      <c r="AD1" s="1068"/>
      <c r="AF1" s="1068" t="s">
        <v>1211</v>
      </c>
      <c r="AH1" s="1068" t="s">
        <v>1212</v>
      </c>
      <c r="AI1" s="1068" t="s">
        <v>1213</v>
      </c>
      <c r="AK1" s="1068" t="s">
        <v>1214</v>
      </c>
      <c r="AM1" s="1068" t="s">
        <v>1215</v>
      </c>
      <c r="AP1" s="1068" t="s">
        <v>1216</v>
      </c>
      <c r="AQ1" s="1068" t="s">
        <v>1217</v>
      </c>
      <c r="AS1" s="1068" t="s">
        <v>1218</v>
      </c>
      <c r="AU1" s="1068" t="s">
        <v>1219</v>
      </c>
      <c r="AW1" s="1068" t="s">
        <v>1220</v>
      </c>
      <c r="AX1" s="1068" t="s">
        <v>1221</v>
      </c>
      <c r="AZ1" s="1153" t="s">
        <v>1222</v>
      </c>
      <c r="BB1" s="1068" t="s">
        <v>1223</v>
      </c>
      <c r="BC1" s="1068"/>
      <c r="BE1" s="1068" t="s">
        <v>1224</v>
      </c>
      <c r="BF1" s="1068" t="s">
        <v>1225</v>
      </c>
      <c r="BH1" s="1070" t="s">
        <v>826</v>
      </c>
      <c r="BI1" s="1071"/>
      <c r="BJ1" s="1072" t="s">
        <v>1226</v>
      </c>
      <c r="BK1" s="1071"/>
      <c r="BL1" s="1073" t="s">
        <v>925</v>
      </c>
      <c r="BM1" s="1071"/>
      <c r="BN1" s="1074" t="s">
        <v>1227</v>
      </c>
      <c r="BS1" s="1428"/>
    </row>
    <row customHeight="1" ht="11.25">
      <c r="A2" s="1075" t="s">
        <v>1228</v>
      </c>
      <c r="B2" s="1076">
        <v>2000</v>
      </c>
      <c r="C2" s="1076">
        <v>2022</v>
      </c>
      <c r="D2" s="1076" t="s">
        <v>61</v>
      </c>
      <c r="E2" s="1077" t="s">
        <v>1229</v>
      </c>
      <c r="F2" s="1077" t="s">
        <v>1230</v>
      </c>
      <c r="G2" s="1077" t="s">
        <v>1231</v>
      </c>
      <c r="H2" s="1078" t="s">
        <v>56</v>
      </c>
      <c r="I2" s="1077" t="s">
        <v>118</v>
      </c>
      <c r="J2" s="1077" t="s">
        <v>1232</v>
      </c>
      <c r="K2" s="1079" t="s">
        <v>1233</v>
      </c>
      <c r="L2" s="1080"/>
      <c r="M2" s="1079">
        <v>1</v>
      </c>
      <c r="N2" s="1163" t="s">
        <v>1234</v>
      </c>
      <c r="O2" s="1078" t="s">
        <v>465</v>
      </c>
      <c r="P2" s="1081" t="s">
        <v>1235</v>
      </c>
      <c r="Q2" s="1082" t="s">
        <v>1236</v>
      </c>
      <c r="R2" s="144" t="s">
        <v>1237</v>
      </c>
      <c r="S2" s="144" t="s">
        <v>1238</v>
      </c>
      <c r="T2" s="1083" t="s">
        <v>1239</v>
      </c>
      <c r="U2" s="1080" t="s">
        <v>1240</v>
      </c>
      <c r="V2" s="1084">
        <v>1</v>
      </c>
      <c r="W2" s="1085"/>
      <c r="X2" s="1085" t="s">
        <v>1241</v>
      </c>
      <c r="Y2" s="1076" t="s">
        <v>1242</v>
      </c>
      <c r="Z2" s="1086"/>
      <c r="AA2" s="1076" t="s">
        <v>1243</v>
      </c>
      <c r="AB2" s="1087" t="s">
        <v>1243</v>
      </c>
      <c r="AC2" s="1076" t="s">
        <v>1244</v>
      </c>
      <c r="AD2" s="1087" t="s">
        <v>1244</v>
      </c>
      <c r="AF2" s="1078" t="s">
        <v>1240</v>
      </c>
      <c r="AH2" s="1077" t="s">
        <v>1245</v>
      </c>
      <c r="AI2" s="1077" t="s">
        <v>1245</v>
      </c>
      <c r="AK2" s="1077" t="s">
        <v>1246</v>
      </c>
      <c r="AM2" s="1077" t="s">
        <v>1247</v>
      </c>
      <c r="AP2" s="1088" t="s">
        <v>1241</v>
      </c>
      <c r="AQ2" s="1089" t="s">
        <v>1241</v>
      </c>
      <c r="AS2" s="1076" t="s">
        <v>1248</v>
      </c>
      <c r="AU2" s="1121" t="s">
        <v>1249</v>
      </c>
      <c r="AW2" s="1121" t="s">
        <v>1250</v>
      </c>
      <c r="AX2" s="1121" t="s">
        <v>1250</v>
      </c>
      <c r="AZ2" s="1121" t="s">
        <v>54</v>
      </c>
      <c r="BB2" s="1121" t="s">
        <v>1251</v>
      </c>
      <c r="BC2" s="1121" t="s">
        <v>1252</v>
      </c>
      <c r="BE2" s="1121">
        <v>2000</v>
      </c>
      <c r="BF2" s="1121" t="s">
        <v>1253</v>
      </c>
    </row>
    <row customHeight="1" ht="11.25">
      <c r="A3" s="1075" t="s">
        <v>1254</v>
      </c>
      <c r="B3" s="1076">
        <v>2001</v>
      </c>
      <c r="C3" s="1076">
        <v>2023</v>
      </c>
      <c r="D3" s="1076" t="s">
        <v>19</v>
      </c>
      <c r="E3" s="1077" t="s">
        <v>1255</v>
      </c>
      <c r="F3" s="1077" t="s">
        <v>1256</v>
      </c>
      <c r="G3" s="1077" t="s">
        <v>1257</v>
      </c>
      <c r="H3" s="1078" t="s">
        <v>1258</v>
      </c>
      <c r="I3" s="1077" t="s">
        <v>103</v>
      </c>
      <c r="J3" s="1077" t="s">
        <v>575</v>
      </c>
      <c r="K3" s="1079" t="s">
        <v>1169</v>
      </c>
      <c r="L3" s="1080">
        <f>_xlfn.IFERROR(MATCH(K3,OFFER_METHOD,0),0)</f>
        <v>4</v>
      </c>
      <c r="M3" s="1079">
        <v>2</v>
      </c>
      <c r="N3" s="1163" t="s">
        <v>1259</v>
      </c>
      <c r="O3" s="1078" t="s">
        <v>1260</v>
      </c>
      <c r="P3" s="1081" t="s">
        <v>37</v>
      </c>
      <c r="Q3" s="1082" t="s">
        <v>463</v>
      </c>
      <c r="R3" s="144" t="s">
        <v>467</v>
      </c>
      <c r="S3" s="144" t="s">
        <v>1261</v>
      </c>
      <c r="T3" s="1083" t="s">
        <v>1262</v>
      </c>
      <c r="U3" s="1080" t="s">
        <v>1263</v>
      </c>
      <c r="V3" s="1084">
        <v>2</v>
      </c>
      <c r="W3" s="1085"/>
      <c r="X3" s="1085" t="s">
        <v>1264</v>
      </c>
      <c r="Y3" s="1076" t="s">
        <v>1242</v>
      </c>
      <c r="Z3" s="1086"/>
      <c r="AA3" s="1076" t="s">
        <v>1265</v>
      </c>
      <c r="AB3" s="1087" t="s">
        <v>1265</v>
      </c>
      <c r="AC3" s="1076" t="s">
        <v>1266</v>
      </c>
      <c r="AD3" s="1087" t="s">
        <v>1266</v>
      </c>
      <c r="AF3" s="1078" t="s">
        <v>1263</v>
      </c>
      <c r="AH3" s="1077" t="s">
        <v>1267</v>
      </c>
      <c r="AI3" s="1077" t="s">
        <v>1268</v>
      </c>
      <c r="AK3" s="1077" t="s">
        <v>1269</v>
      </c>
      <c r="AM3" s="1077" t="s">
        <v>1270</v>
      </c>
      <c r="AP3" s="1088" t="s">
        <v>1271</v>
      </c>
      <c r="AQ3" s="1089" t="s">
        <v>1271</v>
      </c>
      <c r="AS3" s="1076" t="s">
        <v>1272</v>
      </c>
      <c r="AU3" s="1121" t="s">
        <v>1273</v>
      </c>
      <c r="AW3" s="1121" t="s">
        <v>1274</v>
      </c>
      <c r="AX3" s="1121" t="s">
        <v>1274</v>
      </c>
      <c r="AZ3" s="1121" t="s">
        <v>1275</v>
      </c>
      <c r="BB3" s="1121" t="s">
        <v>1276</v>
      </c>
      <c r="BC3" s="1121" t="s">
        <v>1252</v>
      </c>
      <c r="BE3" s="1121">
        <v>2001</v>
      </c>
      <c r="BF3" s="1121" t="s">
        <v>1277</v>
      </c>
      <c r="BH3" s="1068" t="s">
        <v>1278</v>
      </c>
      <c r="BJ3" s="1068" t="s">
        <v>1279</v>
      </c>
      <c r="BL3" s="1068" t="s">
        <v>1280</v>
      </c>
      <c r="BN3" s="1068" t="s">
        <v>1281</v>
      </c>
      <c r="BR3" s="1068" t="s">
        <v>1282</v>
      </c>
      <c r="BS3" s="1429"/>
      <c r="BT3" s="1071"/>
      <c r="BU3" s="1068" t="s">
        <v>1283</v>
      </c>
      <c r="BV3" s="1071"/>
      <c r="BW3" s="1691"/>
      <c r="BX3" s="1693" t="s">
        <v>1284</v>
      </c>
      <c r="CA3" s="1068" t="s">
        <v>1285</v>
      </c>
    </row>
    <row customHeight="1" ht="11.25">
      <c r="A4" s="1075" t="s">
        <v>1286</v>
      </c>
      <c r="B4" s="1076">
        <v>2002</v>
      </c>
      <c r="C4" s="1076">
        <v>2024</v>
      </c>
      <c r="E4" s="1077" t="s">
        <v>1287</v>
      </c>
      <c r="F4" s="1077" t="s">
        <v>1288</v>
      </c>
      <c r="H4" s="1078" t="s">
        <v>1289</v>
      </c>
      <c r="I4" s="1077" t="s">
        <v>91</v>
      </c>
      <c r="J4" s="1077" t="s">
        <v>1290</v>
      </c>
      <c r="K4" s="1079" t="s">
        <v>1291</v>
      </c>
      <c r="L4" s="1080">
        <f>_xlfn.IFERROR(MATCH(K4,OFFER_METHOD,0),0)</f>
        <v>0</v>
      </c>
      <c r="M4" s="1079">
        <v>3</v>
      </c>
      <c r="N4" s="1163" t="s">
        <v>1292</v>
      </c>
      <c r="O4" s="1077" t="s">
        <v>1293</v>
      </c>
      <c r="Q4" s="1082" t="s">
        <v>1294</v>
      </c>
      <c r="R4" s="144" t="s">
        <v>1295</v>
      </c>
      <c r="S4" s="144" t="s">
        <v>1296</v>
      </c>
      <c r="T4" s="1083" t="s">
        <v>1297</v>
      </c>
      <c r="U4" s="1080" t="s">
        <v>1298</v>
      </c>
      <c r="V4" s="1084">
        <v>3</v>
      </c>
      <c r="W4" s="1085"/>
      <c r="X4" s="1085" t="s">
        <v>1299</v>
      </c>
      <c r="Y4" s="1076" t="s">
        <v>1242</v>
      </c>
      <c r="Z4" s="1092"/>
      <c r="AC4" s="1076" t="s">
        <v>1300</v>
      </c>
      <c r="AD4" s="1087" t="s">
        <v>1300</v>
      </c>
      <c r="AF4" s="1078" t="s">
        <v>1298</v>
      </c>
      <c r="AH4" s="1078" t="s">
        <v>1301</v>
      </c>
      <c r="AK4" s="1077" t="s">
        <v>1302</v>
      </c>
      <c r="AM4" s="1077" t="s">
        <v>1303</v>
      </c>
      <c r="AP4" s="1088" t="s">
        <v>1264</v>
      </c>
      <c r="AQ4" s="1089" t="s">
        <v>1264</v>
      </c>
      <c r="AS4" s="1076" t="s">
        <v>1304</v>
      </c>
      <c r="AU4" s="1121" t="s">
        <v>1305</v>
      </c>
      <c r="AW4" s="1121" t="s">
        <v>1306</v>
      </c>
      <c r="AX4" s="1121" t="s">
        <v>1306</v>
      </c>
      <c r="AZ4" s="1121" t="s">
        <v>1307</v>
      </c>
      <c r="BB4" s="1121" t="s">
        <v>1308</v>
      </c>
      <c r="BC4" s="1121" t="s">
        <v>1309</v>
      </c>
      <c r="BE4" s="1121">
        <v>2002</v>
      </c>
      <c r="BF4" s="1121" t="s">
        <v>1310</v>
      </c>
      <c r="BH4" s="1069" t="s">
        <v>1311</v>
      </c>
      <c r="BJ4" s="1069" t="s">
        <v>1311</v>
      </c>
      <c r="BL4" s="1069" t="s">
        <v>1311</v>
      </c>
      <c r="BN4" s="1069" t="s">
        <v>1311</v>
      </c>
      <c r="BQ4" s="1433" t="s">
        <v>1312</v>
      </c>
      <c r="BR4" s="1160" t="s">
        <v>1313</v>
      </c>
      <c r="BS4" s="275"/>
      <c r="BT4" s="1433" t="s">
        <v>1314</v>
      </c>
      <c r="BU4" s="1160" t="s">
        <v>1315</v>
      </c>
      <c r="BV4" s="1071"/>
      <c r="BW4" s="1698" t="s">
        <v>1316</v>
      </c>
      <c r="BX4" s="1692" t="s">
        <v>1317</v>
      </c>
      <c r="BZ4" s="1433" t="s">
        <v>1318</v>
      </c>
      <c r="CA4" s="1160" t="s">
        <v>1319</v>
      </c>
    </row>
    <row customHeight="1" ht="11.25">
      <c r="A5" s="1075" t="s">
        <v>1320</v>
      </c>
      <c r="B5" s="1076">
        <v>2003</v>
      </c>
      <c r="C5" s="1076">
        <v>2025</v>
      </c>
      <c r="E5" s="1077" t="s">
        <v>1321</v>
      </c>
      <c r="F5" s="1077" t="s">
        <v>1322</v>
      </c>
      <c r="H5" s="1078" t="s">
        <v>1323</v>
      </c>
      <c r="I5" s="1077" t="s">
        <v>92</v>
      </c>
      <c r="K5" s="1079" t="s">
        <v>1324</v>
      </c>
      <c r="L5" s="1080">
        <f>_xlfn.IFERROR(MATCH(K5,OFFER_METHOD,0),0)</f>
        <v>0</v>
      </c>
      <c r="M5" s="1079">
        <v>4</v>
      </c>
      <c r="N5" s="1093" t="s">
        <v>1325</v>
      </c>
      <c r="O5" s="1077" t="s">
        <v>1326</v>
      </c>
      <c r="Q5" s="1082" t="s">
        <v>466</v>
      </c>
      <c r="R5" s="144" t="s">
        <v>464</v>
      </c>
      <c r="T5" s="1078" t="s">
        <v>1327</v>
      </c>
      <c r="U5" s="1080" t="s">
        <v>1328</v>
      </c>
      <c r="V5" s="1084">
        <v>4</v>
      </c>
      <c r="W5" s="1085"/>
      <c r="X5" s="1085" t="s">
        <v>185</v>
      </c>
      <c r="Y5" s="1076" t="s">
        <v>1329</v>
      </c>
      <c r="Z5" s="1092">
        <v>1</v>
      </c>
      <c r="AF5" s="1078" t="s">
        <v>1330</v>
      </c>
      <c r="AH5" s="1077" t="s">
        <v>1331</v>
      </c>
      <c r="AK5" s="1077" t="s">
        <v>1332</v>
      </c>
      <c r="AM5" s="1077" t="s">
        <v>1333</v>
      </c>
      <c r="AP5" s="1088" t="s">
        <v>185</v>
      </c>
      <c r="AQ5" s="1089" t="s">
        <v>185</v>
      </c>
      <c r="AU5" s="1121" t="s">
        <v>1334</v>
      </c>
      <c r="AW5" s="1121" t="s">
        <v>1335</v>
      </c>
      <c r="AX5" s="1121" t="s">
        <v>1335</v>
      </c>
      <c r="AZ5" s="1121" t="s">
        <v>1336</v>
      </c>
      <c r="BB5" s="1121" t="s">
        <v>1337</v>
      </c>
      <c r="BC5" s="1121" t="s">
        <v>1338</v>
      </c>
      <c r="BE5" s="1121">
        <v>2003</v>
      </c>
      <c r="BF5" s="1121" t="s">
        <v>1339</v>
      </c>
      <c r="BH5" s="1069" t="s">
        <v>1340</v>
      </c>
      <c r="BJ5" s="1069" t="s">
        <v>1340</v>
      </c>
      <c r="BL5" s="1069" t="s">
        <v>1340</v>
      </c>
      <c r="BN5" s="1069" t="s">
        <v>1341</v>
      </c>
      <c r="BQ5" s="1282">
        <v>4213775</v>
      </c>
      <c r="BR5" s="1069" t="s">
        <v>1241</v>
      </c>
      <c r="BS5" s="1430"/>
      <c r="BT5" s="1282">
        <v>64236871</v>
      </c>
      <c r="BU5" s="1069" t="s">
        <v>246</v>
      </c>
      <c r="BV5" s="1071"/>
      <c r="BW5" s="1696">
        <v>4213767</v>
      </c>
      <c r="BX5" s="1694" t="s">
        <v>1342</v>
      </c>
      <c r="BZ5" s="1282">
        <v>64237509</v>
      </c>
      <c r="CA5" s="1296" t="s">
        <v>1343</v>
      </c>
    </row>
    <row customHeight="1" ht="11.25">
      <c r="A6" s="1075" t="s">
        <v>1344</v>
      </c>
      <c r="B6" s="1076">
        <v>2004</v>
      </c>
      <c r="C6" s="1076">
        <v>2026</v>
      </c>
      <c r="E6" s="1077" t="s">
        <v>1345</v>
      </c>
      <c r="F6" s="1094"/>
      <c r="H6" s="1078" t="s">
        <v>1346</v>
      </c>
      <c r="I6" s="1077" t="s">
        <v>119</v>
      </c>
      <c r="J6" s="1068" t="s">
        <v>1347</v>
      </c>
      <c r="L6" s="1080">
        <f>SUM(kind_of_control_method_filter)</f>
        <v>4</v>
      </c>
      <c r="N6" s="1093" t="s">
        <v>1348</v>
      </c>
      <c r="O6" s="1077" t="s">
        <v>1349</v>
      </c>
      <c r="R6" s="144" t="s">
        <v>1236</v>
      </c>
      <c r="T6" s="1078" t="s">
        <v>1350</v>
      </c>
      <c r="U6" s="1080" t="s">
        <v>1330</v>
      </c>
      <c r="V6" s="1084">
        <v>5</v>
      </c>
      <c r="W6" s="1085"/>
      <c r="X6" s="1076" t="s">
        <v>191</v>
      </c>
      <c r="Y6" s="1076" t="s">
        <v>1351</v>
      </c>
      <c r="Z6" s="1092"/>
      <c r="AA6" s="1095"/>
      <c r="AH6" s="1077" t="s">
        <v>1352</v>
      </c>
      <c r="AK6" s="1077" t="s">
        <v>1353</v>
      </c>
      <c r="AM6" s="1077" t="s">
        <v>1354</v>
      </c>
      <c r="AP6" s="1088" t="s">
        <v>191</v>
      </c>
      <c r="AQ6" s="1089" t="s">
        <v>191</v>
      </c>
      <c r="AU6" s="1121" t="s">
        <v>1355</v>
      </c>
      <c r="AW6" s="1121" t="s">
        <v>1356</v>
      </c>
      <c r="AX6" s="1121" t="s">
        <v>1356</v>
      </c>
      <c r="BB6" s="1121" t="s">
        <v>1357</v>
      </c>
      <c r="BC6" s="1121" t="s">
        <v>1338</v>
      </c>
      <c r="BE6" s="1121">
        <v>2004</v>
      </c>
      <c r="BF6" s="1121" t="s">
        <v>1358</v>
      </c>
      <c r="BH6" s="1069" t="s">
        <v>1359</v>
      </c>
      <c r="BJ6" s="1069" t="s">
        <v>1360</v>
      </c>
      <c r="BL6" s="1069" t="s">
        <v>1360</v>
      </c>
      <c r="BN6" s="1069" t="s">
        <v>1361</v>
      </c>
      <c r="BQ6" s="1282">
        <v>4213784</v>
      </c>
      <c r="BR6" s="1296" t="s">
        <v>1271</v>
      </c>
      <c r="BS6" s="1431"/>
      <c r="BT6" s="1282">
        <v>64236872</v>
      </c>
      <c r="BU6" s="1069" t="s">
        <v>251</v>
      </c>
      <c r="BV6" s="1071"/>
      <c r="BW6" s="1696">
        <v>4213768</v>
      </c>
      <c r="BX6" s="1694" t="s">
        <v>271</v>
      </c>
      <c r="BZ6" s="1282">
        <v>64237510</v>
      </c>
      <c r="CA6" s="1069" t="s">
        <v>1362</v>
      </c>
    </row>
    <row customHeight="1" ht="11.25">
      <c r="A7" s="1075" t="s">
        <v>1363</v>
      </c>
      <c r="B7" s="1076">
        <v>2005</v>
      </c>
      <c r="E7" s="1077" t="s">
        <v>1364</v>
      </c>
      <c r="F7" s="1094"/>
      <c r="H7" s="1078" t="s">
        <v>1365</v>
      </c>
      <c r="I7" s="1077" t="s">
        <v>93</v>
      </c>
      <c r="J7" s="1077" t="s">
        <v>1366</v>
      </c>
      <c r="N7" s="1097" t="s">
        <v>1367</v>
      </c>
      <c r="O7" s="1077" t="s">
        <v>1368</v>
      </c>
      <c r="U7" s="1080" t="s">
        <v>19</v>
      </c>
      <c r="V7" s="371" t="s">
        <v>93</v>
      </c>
      <c r="W7" s="1085"/>
      <c r="X7" s="1076" t="s">
        <v>197</v>
      </c>
      <c r="Y7" s="1076" t="s">
        <v>1329</v>
      </c>
      <c r="Z7" s="1092"/>
      <c r="AA7" s="1095"/>
      <c r="AH7" s="1077" t="s">
        <v>1369</v>
      </c>
      <c r="AK7" s="1077" t="s">
        <v>1370</v>
      </c>
      <c r="AM7" s="1077" t="s">
        <v>1371</v>
      </c>
      <c r="AP7" s="1088" t="s">
        <v>197</v>
      </c>
      <c r="AQ7" s="1089" t="s">
        <v>197</v>
      </c>
      <c r="AU7" s="1121" t="s">
        <v>1372</v>
      </c>
      <c r="AW7" s="1121" t="s">
        <v>1373</v>
      </c>
      <c r="AX7" s="1121" t="s">
        <v>1373</v>
      </c>
      <c r="AZ7" s="1068" t="s">
        <v>1374</v>
      </c>
      <c r="BB7" s="1121" t="s">
        <v>1375</v>
      </c>
      <c r="BC7" s="1121" t="s">
        <v>1338</v>
      </c>
      <c r="BE7" s="1121">
        <v>2005</v>
      </c>
      <c r="BF7" s="1121" t="s">
        <v>1376</v>
      </c>
      <c r="BH7" s="1069" t="s">
        <v>1377</v>
      </c>
      <c r="BJ7" s="1069" t="s">
        <v>1359</v>
      </c>
      <c r="BL7" s="1069" t="s">
        <v>1359</v>
      </c>
      <c r="BN7" s="1069" t="s">
        <v>1378</v>
      </c>
      <c r="BQ7" s="1282">
        <v>4213781</v>
      </c>
      <c r="BR7" s="1069" t="s">
        <v>1264</v>
      </c>
      <c r="BS7" s="1430"/>
      <c r="BT7" s="1282">
        <v>64236873</v>
      </c>
      <c r="BU7" s="1069" t="s">
        <v>256</v>
      </c>
      <c r="BV7" s="1071"/>
      <c r="BW7" s="1696">
        <v>4213769</v>
      </c>
      <c r="BX7" s="1694" t="s">
        <v>1379</v>
      </c>
      <c r="BZ7" s="1282">
        <v>64237511</v>
      </c>
      <c r="CA7" s="1069" t="s">
        <v>286</v>
      </c>
    </row>
    <row customHeight="1" ht="11.25">
      <c r="A8" s="1075" t="s">
        <v>1380</v>
      </c>
      <c r="B8" s="1076">
        <v>2006</v>
      </c>
      <c r="E8" s="1077" t="s">
        <v>1381</v>
      </c>
      <c r="F8" s="1094"/>
      <c r="H8" s="1078" t="s">
        <v>1382</v>
      </c>
      <c r="I8" s="1077" t="s">
        <v>94</v>
      </c>
      <c r="J8" s="1077" t="s">
        <v>1383</v>
      </c>
      <c r="N8" s="1164" t="s">
        <v>1384</v>
      </c>
      <c r="O8" s="1077" t="s">
        <v>1385</v>
      </c>
      <c r="V8" s="371" t="s">
        <v>94</v>
      </c>
      <c r="W8" s="1085"/>
      <c r="X8" s="1076" t="s">
        <v>203</v>
      </c>
      <c r="Y8" s="1076" t="s">
        <v>1329</v>
      </c>
      <c r="Z8" s="1092"/>
      <c r="AA8" s="1095"/>
      <c r="AK8" s="1077" t="s">
        <v>1386</v>
      </c>
      <c r="AP8" s="1088" t="s">
        <v>203</v>
      </c>
      <c r="AQ8" s="1089" t="s">
        <v>203</v>
      </c>
      <c r="AU8" s="1121" t="s">
        <v>1387</v>
      </c>
      <c r="AW8" s="1121" t="s">
        <v>1388</v>
      </c>
      <c r="AX8" s="1121" t="s">
        <v>1388</v>
      </c>
      <c r="AZ8" s="1121" t="s">
        <v>1389</v>
      </c>
      <c r="BB8" s="1121" t="s">
        <v>1390</v>
      </c>
      <c r="BC8" s="1121" t="s">
        <v>1338</v>
      </c>
      <c r="BE8" s="1121">
        <v>2006</v>
      </c>
      <c r="BF8" s="1121" t="s">
        <v>1391</v>
      </c>
      <c r="BH8" s="1069" t="s">
        <v>1392</v>
      </c>
      <c r="BJ8" s="1069" t="s">
        <v>1393</v>
      </c>
      <c r="BL8" s="1069" t="s">
        <v>1393</v>
      </c>
      <c r="BN8" s="1069" t="s">
        <v>1394</v>
      </c>
      <c r="BQ8" s="1282">
        <v>4213776</v>
      </c>
      <c r="BR8" s="1069" t="s">
        <v>185</v>
      </c>
      <c r="BS8" s="1430"/>
      <c r="BT8" s="1282">
        <v>64236874</v>
      </c>
      <c r="BU8" s="1296" t="s">
        <v>1395</v>
      </c>
      <c r="BV8" s="1071"/>
      <c r="BW8" s="1696">
        <v>4213770</v>
      </c>
      <c r="BX8" s="1697" t="s">
        <v>1396</v>
      </c>
      <c r="BZ8" s="1282">
        <v>64237512</v>
      </c>
      <c r="CA8" s="1069" t="s">
        <v>281</v>
      </c>
    </row>
    <row customHeight="1" ht="11.25">
      <c r="A9" s="1075" t="s">
        <v>1397</v>
      </c>
      <c r="B9" s="1076">
        <v>2007</v>
      </c>
      <c r="E9" s="1077" t="s">
        <v>1398</v>
      </c>
      <c r="F9" s="1094"/>
      <c r="G9" s="1068" t="s">
        <v>1399</v>
      </c>
      <c r="H9" s="1068" t="s">
        <v>1400</v>
      </c>
      <c r="I9" s="1077" t="s">
        <v>120</v>
      </c>
      <c r="O9" s="1077" t="s">
        <v>1401</v>
      </c>
      <c r="V9" s="371" t="s">
        <v>120</v>
      </c>
      <c r="W9" s="1085"/>
      <c r="X9" s="1076" t="s">
        <v>209</v>
      </c>
      <c r="Y9" s="1076" t="s">
        <v>1242</v>
      </c>
      <c r="Z9" s="1092">
        <v>1</v>
      </c>
      <c r="AA9" s="1095"/>
      <c r="AK9" s="1077" t="s">
        <v>1402</v>
      </c>
      <c r="AP9" s="1088" t="s">
        <v>1403</v>
      </c>
      <c r="AQ9" s="1089" t="s">
        <v>1403</v>
      </c>
      <c r="AW9" s="1121" t="s">
        <v>1404</v>
      </c>
      <c r="AX9" s="1121" t="s">
        <v>1404</v>
      </c>
      <c r="AZ9" s="1121" t="s">
        <v>1405</v>
      </c>
      <c r="BB9" s="1121" t="s">
        <v>1406</v>
      </c>
      <c r="BC9" s="1121" t="s">
        <v>1338</v>
      </c>
      <c r="BE9" s="1121">
        <v>2007</v>
      </c>
      <c r="BF9" s="1121" t="s">
        <v>1407</v>
      </c>
      <c r="BH9" s="1069" t="s">
        <v>1408</v>
      </c>
      <c r="BJ9" s="1069" t="s">
        <v>1409</v>
      </c>
      <c r="BL9" s="1069" t="s">
        <v>1409</v>
      </c>
      <c r="BN9" s="1069" t="s">
        <v>1410</v>
      </c>
      <c r="BQ9" s="1282">
        <v>4213777</v>
      </c>
      <c r="BR9" s="1069" t="s">
        <v>191</v>
      </c>
      <c r="BS9" s="1430"/>
      <c r="BT9" s="1282">
        <v>64236875</v>
      </c>
      <c r="BU9" s="1069" t="s">
        <v>261</v>
      </c>
      <c r="BV9" s="1071"/>
      <c r="BW9" s="1691"/>
      <c r="BX9" s="1691"/>
    </row>
    <row customHeight="1" ht="11.25">
      <c r="A10" s="1075" t="s">
        <v>1411</v>
      </c>
      <c r="B10" s="1076">
        <v>2008</v>
      </c>
      <c r="E10" s="1077" t="s">
        <v>1412</v>
      </c>
      <c r="F10" s="1094"/>
      <c r="G10" s="1077" t="s">
        <v>1413</v>
      </c>
      <c r="H10" s="1077" t="s">
        <v>1414</v>
      </c>
      <c r="I10" s="1077" t="s">
        <v>156</v>
      </c>
      <c r="J10" s="1068" t="s">
        <v>1415</v>
      </c>
      <c r="K10" s="1068" t="s">
        <v>1416</v>
      </c>
      <c r="O10" s="1077" t="s">
        <v>1417</v>
      </c>
      <c r="V10" s="372" t="s">
        <v>156</v>
      </c>
      <c r="W10" s="1098"/>
      <c r="X10" s="1098" t="s">
        <v>1418</v>
      </c>
      <c r="Y10" s="1099" t="s">
        <v>1419</v>
      </c>
      <c r="Z10" s="1092"/>
      <c r="AP10" s="1088" t="s">
        <v>1418</v>
      </c>
      <c r="AQ10" s="1089" t="s">
        <v>1418</v>
      </c>
      <c r="AW10" s="1121" t="s">
        <v>1420</v>
      </c>
      <c r="AX10" s="1121" t="s">
        <v>1420</v>
      </c>
      <c r="AZ10" s="1121" t="s">
        <v>1421</v>
      </c>
      <c r="BB10" s="1121" t="s">
        <v>1422</v>
      </c>
      <c r="BC10" s="1121" t="s">
        <v>1338</v>
      </c>
      <c r="BE10" s="1121">
        <v>2008</v>
      </c>
      <c r="BF10" s="1121" t="s">
        <v>1423</v>
      </c>
      <c r="BH10" s="1069" t="s">
        <v>1424</v>
      </c>
      <c r="BJ10" s="1069" t="s">
        <v>1425</v>
      </c>
      <c r="BL10" s="1069" t="s">
        <v>1425</v>
      </c>
      <c r="BN10" s="1069" t="s">
        <v>1426</v>
      </c>
      <c r="BQ10" s="1282">
        <v>4213778</v>
      </c>
      <c r="BR10" s="1069" t="s">
        <v>197</v>
      </c>
      <c r="BS10" s="1430"/>
      <c r="BT10" s="1282">
        <v>64236876</v>
      </c>
      <c r="BU10" s="1069" t="s">
        <v>241</v>
      </c>
      <c r="BV10" s="1071"/>
      <c r="BW10" s="1691"/>
      <c r="BX10" s="1691"/>
    </row>
    <row customHeight="1" ht="11.25">
      <c r="A11" s="1075" t="s">
        <v>1427</v>
      </c>
      <c r="B11" s="1076">
        <v>2009</v>
      </c>
      <c r="E11" s="1077" t="s">
        <v>1428</v>
      </c>
      <c r="F11" s="1094"/>
      <c r="G11" s="1077" t="s">
        <v>1429</v>
      </c>
      <c r="H11" s="1077" t="s">
        <v>1430</v>
      </c>
      <c r="I11" s="1077" t="s">
        <v>157</v>
      </c>
      <c r="J11" s="1078" t="s">
        <v>1431</v>
      </c>
      <c r="K11" s="1100" t="s">
        <v>1432</v>
      </c>
      <c r="O11" s="1078" t="s">
        <v>1433</v>
      </c>
      <c r="V11" s="371" t="s">
        <v>157</v>
      </c>
      <c r="W11" s="276"/>
      <c r="X11" s="1085" t="s">
        <v>1403</v>
      </c>
      <c r="Y11" s="1076" t="s">
        <v>1434</v>
      </c>
      <c r="Z11" s="1092"/>
      <c r="AP11" s="1088" t="s">
        <v>209</v>
      </c>
      <c r="AQ11" s="1090" t="s">
        <v>209</v>
      </c>
      <c r="AW11" s="1121" t="s">
        <v>1435</v>
      </c>
      <c r="AX11" s="1121" t="s">
        <v>1435</v>
      </c>
      <c r="AZ11" s="1121" t="s">
        <v>1436</v>
      </c>
      <c r="BB11" s="1121" t="s">
        <v>1437</v>
      </c>
      <c r="BC11" s="1121" t="s">
        <v>1338</v>
      </c>
      <c r="BE11" s="1121">
        <v>2009</v>
      </c>
      <c r="BF11" s="1121" t="s">
        <v>1438</v>
      </c>
      <c r="BH11" s="1069" t="s">
        <v>1439</v>
      </c>
      <c r="BJ11" s="1069" t="s">
        <v>1408</v>
      </c>
      <c r="BL11" s="1069" t="s">
        <v>1408</v>
      </c>
      <c r="BN11" s="1069" t="s">
        <v>1440</v>
      </c>
      <c r="BQ11" s="1282">
        <v>4213780</v>
      </c>
      <c r="BR11" s="1069" t="s">
        <v>203</v>
      </c>
      <c r="BS11" s="1430"/>
      <c r="BW11" s="1691"/>
      <c r="BX11" s="1691"/>
    </row>
    <row customHeight="1" ht="11.25">
      <c r="A12" s="1075" t="s">
        <v>1441</v>
      </c>
      <c r="B12" s="1076">
        <v>2010</v>
      </c>
      <c r="E12" s="1077" t="s">
        <v>1442</v>
      </c>
      <c r="F12" s="1094"/>
      <c r="G12" s="1077" t="s">
        <v>1430</v>
      </c>
      <c r="I12" s="1077" t="s">
        <v>158</v>
      </c>
      <c r="J12" s="1078" t="s">
        <v>1443</v>
      </c>
      <c r="K12" s="1100" t="s">
        <v>1444</v>
      </c>
      <c r="O12" s="1078" t="s">
        <v>1236</v>
      </c>
      <c r="V12" s="371" t="s">
        <v>158</v>
      </c>
      <c r="W12" s="1090"/>
      <c r="X12" s="1085" t="s">
        <v>1445</v>
      </c>
      <c r="Y12" s="1076" t="s">
        <v>1242</v>
      </c>
      <c r="AP12" s="1088"/>
      <c r="AW12" s="1121" t="s">
        <v>157</v>
      </c>
      <c r="AX12" s="1121" t="s">
        <v>157</v>
      </c>
      <c r="AZ12" s="1121" t="s">
        <v>1446</v>
      </c>
      <c r="BB12" s="1121" t="s">
        <v>1447</v>
      </c>
      <c r="BC12" s="1121" t="s">
        <v>1338</v>
      </c>
      <c r="BE12" s="1121">
        <v>2010</v>
      </c>
      <c r="BF12" s="1121" t="s">
        <v>1448</v>
      </c>
      <c r="BH12" s="1069" t="s">
        <v>1449</v>
      </c>
      <c r="BJ12" s="1069" t="s">
        <v>1450</v>
      </c>
      <c r="BL12" s="1069" t="s">
        <v>1450</v>
      </c>
      <c r="BN12" s="1069" t="s">
        <v>1451</v>
      </c>
      <c r="BQ12" s="1282">
        <v>4213779</v>
      </c>
      <c r="BR12" s="1069" t="s">
        <v>1403</v>
      </c>
      <c r="BS12" s="1430"/>
      <c r="BT12" s="1071"/>
      <c r="BU12" s="1071"/>
      <c r="BV12" s="1071"/>
      <c r="BW12" s="1691"/>
      <c r="BX12" s="1691"/>
    </row>
    <row customHeight="1" ht="11.25">
      <c r="A13" s="1075" t="s">
        <v>1452</v>
      </c>
      <c r="B13" s="1076">
        <v>2011</v>
      </c>
      <c r="E13" s="1077" t="s">
        <v>1453</v>
      </c>
      <c r="F13" s="1094"/>
      <c r="I13" s="1077" t="s">
        <v>159</v>
      </c>
      <c r="K13" s="1100" t="s">
        <v>1402</v>
      </c>
      <c r="V13" s="371" t="s">
        <v>159</v>
      </c>
      <c r="W13" s="1090"/>
      <c r="X13" s="1090"/>
      <c r="Y13" s="1090"/>
      <c r="AW13" s="1121" t="s">
        <v>158</v>
      </c>
      <c r="AX13" s="1121" t="s">
        <v>158</v>
      </c>
      <c r="BB13" s="1121" t="s">
        <v>1454</v>
      </c>
      <c r="BC13" s="1121" t="s">
        <v>1455</v>
      </c>
      <c r="BE13" s="1121">
        <v>2011</v>
      </c>
      <c r="BF13" s="1121" t="s">
        <v>1456</v>
      </c>
      <c r="BH13" s="1069" t="s">
        <v>1457</v>
      </c>
      <c r="BJ13" s="1069" t="s">
        <v>1439</v>
      </c>
      <c r="BL13" s="1069" t="s">
        <v>1439</v>
      </c>
      <c r="BN13" s="1069" t="s">
        <v>1458</v>
      </c>
      <c r="BQ13" s="1282">
        <v>4213783</v>
      </c>
      <c r="BR13" s="1069" t="s">
        <v>1418</v>
      </c>
      <c r="BS13" s="1430"/>
      <c r="BT13" s="1071"/>
      <c r="BU13" s="1071"/>
      <c r="BV13" s="1071"/>
      <c r="BW13" s="1695"/>
      <c r="BX13" s="1691"/>
    </row>
    <row customHeight="1" ht="11.25">
      <c r="A14" s="1075" t="s">
        <v>1459</v>
      </c>
      <c r="B14" s="1076">
        <v>2012</v>
      </c>
      <c r="I14" s="1077" t="s">
        <v>160</v>
      </c>
      <c r="J14" s="1068" t="s">
        <v>1460</v>
      </c>
      <c r="N14" s="1068" t="s">
        <v>1461</v>
      </c>
      <c r="V14" s="1084">
        <v>13</v>
      </c>
      <c r="W14" s="1085"/>
      <c r="X14" s="1085" t="s">
        <v>1271</v>
      </c>
      <c r="Y14" s="1076" t="s">
        <v>1242</v>
      </c>
      <c r="AW14" s="1121" t="s">
        <v>159</v>
      </c>
      <c r="AX14" s="1121" t="s">
        <v>159</v>
      </c>
      <c r="AZ14" s="1068" t="s">
        <v>1462</v>
      </c>
      <c r="BB14" s="1121" t="s">
        <v>1463</v>
      </c>
      <c r="BC14" s="1121" t="s">
        <v>1455</v>
      </c>
      <c r="BE14" s="1121">
        <v>2012</v>
      </c>
      <c r="BH14" s="1069" t="s">
        <v>1378</v>
      </c>
      <c r="BJ14" s="1218" t="s">
        <v>1464</v>
      </c>
      <c r="BL14" s="1218" t="s">
        <v>1464</v>
      </c>
      <c r="BN14" s="1069" t="s">
        <v>1465</v>
      </c>
      <c r="BQ14" s="1282">
        <v>4213782</v>
      </c>
      <c r="BR14" s="1069" t="s">
        <v>209</v>
      </c>
      <c r="BS14" s="1430"/>
      <c r="BT14" s="1071"/>
      <c r="BU14" s="1071"/>
      <c r="BV14" s="1071"/>
      <c r="BW14" s="1695"/>
      <c r="BX14" s="1691"/>
    </row>
    <row customHeight="1" ht="19.5">
      <c r="A15" s="1075" t="s">
        <v>1466</v>
      </c>
      <c r="B15" s="1076">
        <v>2013</v>
      </c>
      <c r="E15" s="1699" t="s">
        <v>1467</v>
      </c>
      <c r="G15" s="1068" t="s">
        <v>1468</v>
      </c>
      <c r="H15" s="1068" t="s">
        <v>1469</v>
      </c>
      <c r="I15" s="1079" t="s">
        <v>161</v>
      </c>
      <c r="J15" s="1090" t="s">
        <v>602</v>
      </c>
      <c r="N15" s="1159" t="s">
        <v>1470</v>
      </c>
      <c r="X15" s="1088"/>
      <c r="AW15" s="1121" t="s">
        <v>160</v>
      </c>
      <c r="AX15" s="1121" t="s">
        <v>160</v>
      </c>
      <c r="AZ15" s="1121" t="s">
        <v>1389</v>
      </c>
      <c r="BB15" s="1121" t="s">
        <v>1471</v>
      </c>
      <c r="BC15" s="1121" t="s">
        <v>1455</v>
      </c>
      <c r="BE15" s="1121">
        <v>2013</v>
      </c>
      <c r="BH15" s="1069" t="s">
        <v>1394</v>
      </c>
      <c r="BJ15" s="1218" t="s">
        <v>1472</v>
      </c>
      <c r="BL15" s="1218" t="s">
        <v>1472</v>
      </c>
      <c r="BN15" s="1069" t="s">
        <v>1473</v>
      </c>
      <c r="BR15" s="1071"/>
      <c r="BS15" s="1432"/>
      <c r="BT15" s="1071"/>
      <c r="BU15" s="1071"/>
      <c r="BV15" s="1071"/>
      <c r="BW15" s="1695"/>
      <c r="BX15" s="1691"/>
    </row>
    <row customHeight="1" ht="21">
      <c r="A16" s="1871" t="s">
        <v>1474</v>
      </c>
      <c r="B16" s="1076">
        <v>2014</v>
      </c>
      <c r="E16" s="1700" t="s">
        <v>1475</v>
      </c>
      <c r="G16" s="1077" t="s">
        <v>1476</v>
      </c>
      <c r="H16" s="1077" t="s">
        <v>1477</v>
      </c>
      <c r="I16" s="1079" t="s">
        <v>1478</v>
      </c>
      <c r="J16" s="1090" t="s">
        <v>575</v>
      </c>
      <c r="N16" s="1159" t="s">
        <v>1479</v>
      </c>
      <c r="AW16" s="1121" t="s">
        <v>161</v>
      </c>
      <c r="AX16" s="1121" t="s">
        <v>161</v>
      </c>
      <c r="AZ16" s="1121" t="s">
        <v>1405</v>
      </c>
      <c r="BB16" s="1121" t="s">
        <v>1480</v>
      </c>
      <c r="BC16" s="1121" t="s">
        <v>1455</v>
      </c>
      <c r="BE16" s="1121">
        <v>2014</v>
      </c>
      <c r="BH16" s="1069" t="s">
        <v>1410</v>
      </c>
      <c r="BJ16" s="1218" t="s">
        <v>1481</v>
      </c>
      <c r="BL16" s="1218" t="s">
        <v>1481</v>
      </c>
      <c r="BN16" s="1069" t="s">
        <v>1482</v>
      </c>
      <c r="BR16" s="1071"/>
      <c r="BS16" s="1432"/>
      <c r="BT16" s="1071"/>
      <c r="BU16" s="1071"/>
      <c r="BV16" s="1071"/>
      <c r="BW16" s="1695"/>
      <c r="BX16" s="1691"/>
    </row>
    <row customHeight="1" ht="21">
      <c r="A17" s="1075" t="s">
        <v>1483</v>
      </c>
      <c r="B17" s="1076">
        <v>2015</v>
      </c>
      <c r="G17" s="1077" t="s">
        <v>1430</v>
      </c>
      <c r="H17" s="1077" t="s">
        <v>1430</v>
      </c>
      <c r="I17" s="1077" t="s">
        <v>1484</v>
      </c>
      <c r="N17" s="1159" t="s">
        <v>1485</v>
      </c>
      <c r="X17" s="1088"/>
      <c r="AW17" s="1121" t="s">
        <v>1478</v>
      </c>
      <c r="AX17" s="1121" t="s">
        <v>1478</v>
      </c>
      <c r="AZ17" s="1121" t="s">
        <v>1486</v>
      </c>
      <c r="BB17" s="1121" t="s">
        <v>1487</v>
      </c>
      <c r="BC17" s="1121" t="s">
        <v>1338</v>
      </c>
      <c r="BE17" s="1121">
        <v>2015</v>
      </c>
      <c r="BH17" s="1069" t="s">
        <v>1426</v>
      </c>
      <c r="BJ17" s="1218" t="s">
        <v>1488</v>
      </c>
      <c r="BL17" s="1218" t="s">
        <v>1488</v>
      </c>
      <c r="BN17" s="1069" t="s">
        <v>1489</v>
      </c>
      <c r="BR17" s="1068" t="s">
        <v>1282</v>
      </c>
      <c r="BS17" s="1429"/>
      <c r="BU17" s="1068" t="s">
        <v>1490</v>
      </c>
      <c r="BV17" s="1071"/>
      <c r="BW17" s="1691"/>
      <c r="BX17" s="1693" t="s">
        <v>1491</v>
      </c>
      <c r="CA17" s="1068" t="s">
        <v>1492</v>
      </c>
      <c r="CD17" s="1068" t="s">
        <v>1493</v>
      </c>
    </row>
    <row customHeight="1" ht="21">
      <c r="A18" s="1075" t="s">
        <v>1494</v>
      </c>
      <c r="B18" s="1076">
        <v>2016</v>
      </c>
      <c r="E18" s="2006" t="s">
        <v>1495</v>
      </c>
      <c r="I18" s="1077" t="s">
        <v>1496</v>
      </c>
      <c r="N18" s="1159" t="s">
        <v>1497</v>
      </c>
      <c r="X18" s="1088"/>
      <c r="AW18" s="1121" t="s">
        <v>1484</v>
      </c>
      <c r="AX18" s="1121" t="s">
        <v>1484</v>
      </c>
      <c r="BB18" s="1121" t="s">
        <v>1498</v>
      </c>
      <c r="BC18" s="1121" t="s">
        <v>1338</v>
      </c>
      <c r="BE18" s="1121">
        <v>2016</v>
      </c>
      <c r="BH18" s="1069" t="s">
        <v>1440</v>
      </c>
      <c r="BJ18" s="1218" t="s">
        <v>1499</v>
      </c>
      <c r="BL18" s="1218" t="s">
        <v>1499</v>
      </c>
      <c r="BN18" s="1069" t="s">
        <v>1500</v>
      </c>
      <c r="BQ18" s="1433" t="s">
        <v>1312</v>
      </c>
      <c r="BR18" s="1160" t="s">
        <v>1313</v>
      </c>
      <c r="BS18" s="275"/>
      <c r="BT18" s="1433" t="s">
        <v>1501</v>
      </c>
      <c r="BU18" s="1160" t="s">
        <v>1502</v>
      </c>
      <c r="BV18" s="1071"/>
      <c r="BW18" s="1698" t="s">
        <v>1503</v>
      </c>
      <c r="BX18" s="1692" t="s">
        <v>1504</v>
      </c>
      <c r="BZ18" s="1433" t="s">
        <v>1505</v>
      </c>
      <c r="CA18" s="1160" t="s">
        <v>1506</v>
      </c>
      <c r="CC18" s="1433" t="s">
        <v>1507</v>
      </c>
      <c r="CD18" s="1160" t="s">
        <v>1508</v>
      </c>
    </row>
    <row customHeight="1" ht="21">
      <c r="A19" s="1871" t="s">
        <v>1509</v>
      </c>
      <c r="B19" s="1076">
        <v>2017</v>
      </c>
      <c r="E19" s="1075" t="s">
        <v>168</v>
      </c>
      <c r="I19" s="1077" t="s">
        <v>1510</v>
      </c>
      <c r="N19" s="1159" t="s">
        <v>1511</v>
      </c>
      <c r="X19" s="1088"/>
      <c r="AW19" s="1121" t="s">
        <v>1496</v>
      </c>
      <c r="AX19" s="1121" t="s">
        <v>1496</v>
      </c>
      <c r="AZ19" s="1068" t="s">
        <v>1512</v>
      </c>
      <c r="BB19" s="1121" t="s">
        <v>1513</v>
      </c>
      <c r="BC19" s="1121" t="s">
        <v>1338</v>
      </c>
      <c r="BE19" s="1121">
        <v>2017</v>
      </c>
      <c r="BH19" s="1069" t="s">
        <v>1514</v>
      </c>
      <c r="BJ19" s="1218" t="s">
        <v>1515</v>
      </c>
      <c r="BL19" s="1218" t="s">
        <v>1515</v>
      </c>
      <c r="BQ19" s="1282">
        <v>4190064</v>
      </c>
      <c r="BR19" s="1069" t="s">
        <v>1516</v>
      </c>
      <c r="BS19" s="1430"/>
      <c r="BT19" s="1282">
        <v>4189671</v>
      </c>
      <c r="BU19" s="1069" t="s">
        <v>1517</v>
      </c>
      <c r="BV19" s="1071"/>
      <c r="BW19" s="1696">
        <v>4189706</v>
      </c>
      <c r="BX19" s="1694" t="s">
        <v>1518</v>
      </c>
      <c r="BZ19" s="1282">
        <v>4189714</v>
      </c>
      <c r="CA19" s="1069" t="s">
        <v>1519</v>
      </c>
      <c r="CC19" s="1282">
        <v>4189708</v>
      </c>
      <c r="CD19" s="1069" t="s">
        <v>1520</v>
      </c>
    </row>
    <row customHeight="1" ht="21">
      <c r="A20" s="1075" t="s">
        <v>1521</v>
      </c>
      <c r="B20" s="1076">
        <v>2018</v>
      </c>
      <c r="E20" s="1075" t="s">
        <v>1271</v>
      </c>
      <c r="I20" s="1077" t="s">
        <v>1522</v>
      </c>
      <c r="N20" s="1159" t="s">
        <v>1523</v>
      </c>
      <c r="AW20" s="1121" t="s">
        <v>1510</v>
      </c>
      <c r="AX20" s="1121" t="s">
        <v>1510</v>
      </c>
      <c r="AZ20" s="1121" t="s">
        <v>1524</v>
      </c>
      <c r="BB20" s="1121" t="s">
        <v>1525</v>
      </c>
      <c r="BC20" s="1121" t="s">
        <v>1455</v>
      </c>
      <c r="BE20" s="1121">
        <v>2018</v>
      </c>
      <c r="BH20" s="1069" t="s">
        <v>1451</v>
      </c>
      <c r="BJ20" s="1069" t="s">
        <v>1378</v>
      </c>
      <c r="BL20" s="1069" t="s">
        <v>1378</v>
      </c>
      <c r="BQ20" s="1282">
        <v>4190065</v>
      </c>
      <c r="BR20" s="1069" t="s">
        <v>1526</v>
      </c>
      <c r="BS20" s="1430"/>
      <c r="BT20" s="1282">
        <v>4189672</v>
      </c>
      <c r="BU20" s="1069" t="s">
        <v>1527</v>
      </c>
      <c r="BV20" s="1071"/>
      <c r="BW20" s="1696">
        <v>4189705</v>
      </c>
      <c r="BX20" s="1694" t="s">
        <v>1528</v>
      </c>
      <c r="BZ20" s="1282">
        <v>4189713</v>
      </c>
      <c r="CA20" s="1069" t="s">
        <v>1528</v>
      </c>
      <c r="CC20" s="1282">
        <v>4189709</v>
      </c>
      <c r="CD20" s="1069" t="s">
        <v>1529</v>
      </c>
    </row>
    <row customHeight="1" ht="21">
      <c r="A21" s="1075" t="s">
        <v>1530</v>
      </c>
      <c r="B21" s="1076">
        <v>2019</v>
      </c>
      <c r="I21" s="1077" t="s">
        <v>1531</v>
      </c>
      <c r="N21" s="1159" t="s">
        <v>1532</v>
      </c>
      <c r="AW21" s="1121" t="s">
        <v>1522</v>
      </c>
      <c r="AX21" s="1121" t="s">
        <v>1522</v>
      </c>
      <c r="AZ21" s="1121" t="s">
        <v>1533</v>
      </c>
      <c r="BB21" s="1121" t="s">
        <v>1534</v>
      </c>
      <c r="BC21" s="1121" t="s">
        <v>1338</v>
      </c>
      <c r="BE21" s="1121">
        <v>2019</v>
      </c>
      <c r="BH21" s="1069" t="s">
        <v>1458</v>
      </c>
      <c r="BJ21" s="1069" t="s">
        <v>1394</v>
      </c>
      <c r="BL21" s="1069" t="s">
        <v>1394</v>
      </c>
      <c r="BQ21" s="1282">
        <v>4190066</v>
      </c>
      <c r="BR21" s="1069" t="s">
        <v>1535</v>
      </c>
      <c r="BS21" s="1430"/>
      <c r="BT21" s="1282">
        <v>4189673</v>
      </c>
      <c r="BU21" s="1069" t="s">
        <v>1536</v>
      </c>
      <c r="BV21" s="1071"/>
      <c r="BW21" s="1696">
        <v>4189707</v>
      </c>
      <c r="BX21" s="1694" t="s">
        <v>1537</v>
      </c>
      <c r="BZ21" s="1282">
        <v>4189712</v>
      </c>
      <c r="CA21" s="1069" t="s">
        <v>1538</v>
      </c>
      <c r="CC21" s="1282">
        <v>4189710</v>
      </c>
      <c r="CD21" s="1069" t="s">
        <v>1539</v>
      </c>
    </row>
    <row customHeight="1" ht="21">
      <c r="A22" s="1075" t="s">
        <v>1540</v>
      </c>
      <c r="B22" s="1076">
        <v>2020</v>
      </c>
      <c r="N22" s="1159" t="s">
        <v>1541</v>
      </c>
      <c r="AW22" s="1121" t="s">
        <v>1531</v>
      </c>
      <c r="AX22" s="1121" t="s">
        <v>1531</v>
      </c>
      <c r="AZ22" s="1121" t="s">
        <v>1542</v>
      </c>
      <c r="BB22" s="1121" t="s">
        <v>1543</v>
      </c>
      <c r="BC22" s="1121" t="s">
        <v>1338</v>
      </c>
      <c r="BE22" s="1121">
        <v>2020</v>
      </c>
      <c r="BH22" s="1069" t="s">
        <v>1465</v>
      </c>
      <c r="BJ22" s="1069" t="s">
        <v>1410</v>
      </c>
      <c r="BL22" s="1069" t="s">
        <v>1410</v>
      </c>
      <c r="BQ22" s="1282">
        <v>4190067</v>
      </c>
      <c r="BR22" s="1069" t="s">
        <v>1544</v>
      </c>
      <c r="BS22" s="1430"/>
      <c r="BT22" s="1282">
        <v>4189674</v>
      </c>
      <c r="BU22" s="1069" t="s">
        <v>1545</v>
      </c>
      <c r="BV22" s="1071"/>
      <c r="BW22" s="1071"/>
      <c r="CC22" s="1282">
        <v>4189711</v>
      </c>
      <c r="CD22" s="1069" t="s">
        <v>310</v>
      </c>
    </row>
    <row customHeight="1" ht="21">
      <c r="A23" s="1075" t="s">
        <v>1546</v>
      </c>
      <c r="B23" s="1076">
        <v>2021</v>
      </c>
      <c r="AW23" s="1121" t="s">
        <v>1547</v>
      </c>
      <c r="AX23" s="1121" t="s">
        <v>1547</v>
      </c>
      <c r="AZ23" s="1121" t="s">
        <v>1548</v>
      </c>
      <c r="BB23" s="1121" t="s">
        <v>1549</v>
      </c>
      <c r="BC23" s="1121" t="s">
        <v>1252</v>
      </c>
      <c r="BE23" s="1121">
        <v>2021</v>
      </c>
      <c r="BH23" s="1069" t="s">
        <v>1473</v>
      </c>
      <c r="BJ23" s="1069" t="s">
        <v>1426</v>
      </c>
      <c r="BL23" s="1069" t="s">
        <v>1426</v>
      </c>
      <c r="BQ23" s="1282">
        <v>4190068</v>
      </c>
      <c r="BR23" s="1069" t="s">
        <v>1550</v>
      </c>
      <c r="BS23" s="1430"/>
      <c r="BT23" s="1282">
        <v>4189675</v>
      </c>
      <c r="BU23" s="1069" t="s">
        <v>1551</v>
      </c>
      <c r="BV23" s="1071"/>
      <c r="BW23" s="1071"/>
      <c r="CC23" s="1282">
        <v>5110778</v>
      </c>
      <c r="CD23" s="1069" t="s">
        <v>1552</v>
      </c>
    </row>
    <row customHeight="1" ht="21">
      <c r="A24" s="1075" t="s">
        <v>1553</v>
      </c>
      <c r="B24" s="1076">
        <v>2022</v>
      </c>
      <c r="AW24" s="1121" t="s">
        <v>1554</v>
      </c>
      <c r="AX24" s="1121" t="s">
        <v>1554</v>
      </c>
      <c r="AZ24" s="1121" t="s">
        <v>1555</v>
      </c>
      <c r="BB24" s="1121" t="s">
        <v>1556</v>
      </c>
      <c r="BC24" s="1121" t="s">
        <v>1557</v>
      </c>
      <c r="BE24" s="1121">
        <v>2022</v>
      </c>
      <c r="BH24" s="1069" t="s">
        <v>1482</v>
      </c>
      <c r="BJ24" s="1069" t="s">
        <v>1440</v>
      </c>
      <c r="BL24" s="1069" t="s">
        <v>1440</v>
      </c>
      <c r="BQ24" s="1282">
        <v>4190069</v>
      </c>
      <c r="BR24" s="1069" t="s">
        <v>1558</v>
      </c>
      <c r="BS24" s="1430"/>
      <c r="BT24" s="1282">
        <v>4189676</v>
      </c>
      <c r="BU24" s="1069" t="s">
        <v>1559</v>
      </c>
      <c r="BV24" s="1071"/>
      <c r="BW24" s="1071"/>
      <c r="CC24" s="1282">
        <v>25575374</v>
      </c>
      <c r="CD24" s="1069" t="s">
        <v>1560</v>
      </c>
    </row>
    <row customHeight="1" ht="11.25">
      <c r="A25" s="1075" t="s">
        <v>1561</v>
      </c>
      <c r="B25" s="1076">
        <v>2023</v>
      </c>
      <c r="AW25" s="1121" t="s">
        <v>1562</v>
      </c>
      <c r="AX25" s="1121" t="s">
        <v>1562</v>
      </c>
      <c r="AZ25" s="1121" t="s">
        <v>1563</v>
      </c>
      <c r="BB25" s="1121" t="s">
        <v>1564</v>
      </c>
      <c r="BC25" s="1121" t="s">
        <v>1557</v>
      </c>
      <c r="BE25" s="1121">
        <v>2023</v>
      </c>
      <c r="BH25" s="1069" t="s">
        <v>1489</v>
      </c>
      <c r="BJ25" s="1069" t="s">
        <v>1514</v>
      </c>
      <c r="BL25" s="1069" t="s">
        <v>1514</v>
      </c>
      <c r="BQ25" s="1282">
        <v>4190070</v>
      </c>
      <c r="BR25" s="1069" t="s">
        <v>1565</v>
      </c>
      <c r="BS25" s="1430"/>
      <c r="BT25" s="1282">
        <v>4189677</v>
      </c>
      <c r="BU25" s="1069" t="s">
        <v>1566</v>
      </c>
      <c r="BV25" s="1071"/>
      <c r="BW25" s="1071"/>
    </row>
    <row customHeight="1" ht="11.25">
      <c r="A26" s="1075" t="s">
        <v>1567</v>
      </c>
      <c r="B26" s="1076">
        <v>2024</v>
      </c>
      <c r="J26" s="1732" t="s">
        <v>1568</v>
      </c>
      <c r="AX26" s="1121" t="s">
        <v>1569</v>
      </c>
      <c r="AZ26" s="1121" t="s">
        <v>1433</v>
      </c>
      <c r="BB26" s="1121" t="s">
        <v>1570</v>
      </c>
      <c r="BC26" s="1121" t="s">
        <v>1557</v>
      </c>
      <c r="BE26" s="1121">
        <v>2024</v>
      </c>
      <c r="BH26" s="1069" t="s">
        <v>1500</v>
      </c>
      <c r="BJ26" s="1069" t="s">
        <v>1451</v>
      </c>
      <c r="BL26" s="1069" t="s">
        <v>1451</v>
      </c>
      <c r="BQ26" s="1282">
        <v>4190071</v>
      </c>
      <c r="BR26" s="1069" t="s">
        <v>1571</v>
      </c>
      <c r="BS26" s="1430"/>
      <c r="BV26" s="1071"/>
      <c r="BW26" s="1071"/>
    </row>
    <row customHeight="1" ht="11.25">
      <c r="A27" s="1075" t="s">
        <v>1572</v>
      </c>
      <c r="B27" s="1076">
        <v>2025</v>
      </c>
      <c r="J27" s="177" t="s">
        <v>104</v>
      </c>
      <c r="AX27" s="1121" t="s">
        <v>1573</v>
      </c>
      <c r="BB27" s="1121" t="s">
        <v>1574</v>
      </c>
      <c r="BC27" s="1121" t="s">
        <v>1557</v>
      </c>
      <c r="BE27" s="1121">
        <v>2025</v>
      </c>
      <c r="BH27" s="1071" t="s">
        <v>28</v>
      </c>
      <c r="BJ27" s="1069" t="s">
        <v>1458</v>
      </c>
      <c r="BL27" s="1069" t="s">
        <v>1458</v>
      </c>
      <c r="BN27" s="1071" t="s">
        <v>28</v>
      </c>
      <c r="BQ27" s="1282">
        <v>4190072</v>
      </c>
      <c r="BR27" s="1069" t="s">
        <v>1575</v>
      </c>
      <c r="BS27" s="1430"/>
      <c r="BV27" s="1071"/>
      <c r="BW27" s="1071"/>
    </row>
    <row customHeight="1" ht="11.25">
      <c r="A28" s="1075" t="s">
        <v>1576</v>
      </c>
      <c r="D28" s="1102"/>
      <c r="E28" s="1103"/>
      <c r="F28" s="1103"/>
      <c r="H28" s="1104" t="s">
        <v>1577</v>
      </c>
      <c r="AX28" s="1121" t="s">
        <v>1578</v>
      </c>
      <c r="AZ28" s="1068" t="s">
        <v>1579</v>
      </c>
      <c r="BB28" s="1121" t="s">
        <v>1580</v>
      </c>
      <c r="BC28" s="1121" t="s">
        <v>1581</v>
      </c>
      <c r="BE28" s="1121">
        <v>2026</v>
      </c>
      <c r="BH28" s="1071" t="s">
        <v>28</v>
      </c>
      <c r="BJ28" s="1069" t="s">
        <v>1465</v>
      </c>
      <c r="BL28" s="1069" t="s">
        <v>1465</v>
      </c>
      <c r="BN28" s="1071" t="s">
        <v>28</v>
      </c>
      <c r="BQ28" s="1282">
        <v>4190073</v>
      </c>
      <c r="BR28" s="1069" t="s">
        <v>1582</v>
      </c>
      <c r="BS28" s="1430"/>
      <c r="BV28" s="1071"/>
      <c r="BW28" s="1071"/>
    </row>
    <row customHeight="1" ht="11.25">
      <c r="A29" s="1075" t="s">
        <v>1583</v>
      </c>
      <c r="D29" s="1105" t="s">
        <v>1584</v>
      </c>
      <c r="E29" s="1106" t="str">
        <f>IF(TEMPLATE_GROUP="","",INDEX(StartDateList,MATCH(TEMPLATE_GROUP,CodeTemplateList,0),1))</f>
        <v>01.01.2024</v>
      </c>
      <c r="F29" s="1106" t="str">
        <f>IF(TEMPLATE_GROUP="","",INDEX(EndDateList,MATCH(TEMPLATE_GROUP,CodeTemplateList,0),1))</f>
        <v>31.12.2028</v>
      </c>
      <c r="H29" s="1107" t="s">
        <v>1585</v>
      </c>
      <c r="AX29" s="1121" t="s">
        <v>1586</v>
      </c>
      <c r="AZ29" s="1121" t="s">
        <v>1237</v>
      </c>
      <c r="BB29" s="1121" t="s">
        <v>1433</v>
      </c>
      <c r="BC29" s="1092"/>
      <c r="BE29" s="1121">
        <v>2027</v>
      </c>
      <c r="BJ29" s="1069" t="s">
        <v>1473</v>
      </c>
      <c r="BL29" s="1069" t="s">
        <v>1473</v>
      </c>
    </row>
    <row customHeight="1" ht="11.25">
      <c r="A30" s="1075" t="s">
        <v>1587</v>
      </c>
      <c r="D30" s="1108"/>
      <c r="E30" s="1109"/>
      <c r="F30" s="1109"/>
      <c r="AX30" s="1121" t="s">
        <v>1588</v>
      </c>
      <c r="AZ30" s="1121" t="s">
        <v>467</v>
      </c>
      <c r="BE30" s="1121">
        <v>2028</v>
      </c>
      <c r="BJ30" s="1069" t="s">
        <v>1589</v>
      </c>
      <c r="BL30" s="1069" t="s">
        <v>1589</v>
      </c>
    </row>
    <row customHeight="1" ht="12.75">
      <c r="A31" s="1075" t="s">
        <v>1590</v>
      </c>
      <c r="D31" s="1102"/>
      <c r="E31" s="1103"/>
      <c r="F31" s="1103"/>
      <c r="H31" s="1110"/>
      <c r="AX31" s="1121" t="s">
        <v>1591</v>
      </c>
      <c r="AZ31" s="1121" t="s">
        <v>468</v>
      </c>
      <c r="BE31" s="1121">
        <v>2029</v>
      </c>
      <c r="BJ31" s="1069" t="s">
        <v>1592</v>
      </c>
      <c r="BL31" s="1069" t="s">
        <v>1592</v>
      </c>
    </row>
    <row customHeight="1" ht="11.25">
      <c r="A32" s="1075" t="s">
        <v>16</v>
      </c>
      <c r="D32" s="1105" t="s">
        <v>1593</v>
      </c>
      <c r="E32" s="1106" t="str">
        <f>IF(TEMPLATE_GROUP="","",INDEX(StartDateList,MATCH(TEMPLATE_GROUP,CodeTemplateList,0),1))</f>
        <v>01.01.2024</v>
      </c>
      <c r="F32" s="1106" t="str">
        <f>IF(TEMPLATE_GROUP="","",INDEX(EndDateList,MATCH(TEMPLATE_GROUP,CodeTemplateList,0),1))</f>
        <v>31.12.2028</v>
      </c>
      <c r="H32" s="1111" t="s">
        <v>1594</v>
      </c>
      <c r="O32" s="1075" t="s">
        <v>465</v>
      </c>
      <c r="AX32" s="1121" t="s">
        <v>1595</v>
      </c>
      <c r="AZ32" s="1121" t="s">
        <v>464</v>
      </c>
      <c r="BE32" s="1121">
        <v>2030</v>
      </c>
      <c r="BJ32" s="1069" t="s">
        <v>1482</v>
      </c>
      <c r="BL32" s="1069" t="s">
        <v>1482</v>
      </c>
    </row>
    <row customHeight="1" ht="11.25">
      <c r="A33" s="1075" t="s">
        <v>1596</v>
      </c>
      <c r="O33" s="1075" t="s">
        <v>1260</v>
      </c>
      <c r="AX33" s="1121" t="s">
        <v>1597</v>
      </c>
      <c r="AZ33" s="1121" t="s">
        <v>1236</v>
      </c>
      <c r="BE33" s="1121">
        <v>2031</v>
      </c>
      <c r="BJ33" s="1069" t="s">
        <v>1489</v>
      </c>
      <c r="BL33" s="1069" t="s">
        <v>1489</v>
      </c>
    </row>
    <row customHeight="1" ht="11.25">
      <c r="A34" s="1075" t="s">
        <v>1598</v>
      </c>
      <c r="O34" s="1075" t="s">
        <v>1293</v>
      </c>
      <c r="AX34" s="1121" t="s">
        <v>1599</v>
      </c>
      <c r="BE34" s="1121">
        <v>2032</v>
      </c>
      <c r="BJ34" s="1069" t="s">
        <v>1500</v>
      </c>
      <c r="BL34" s="1069" t="s">
        <v>1500</v>
      </c>
    </row>
    <row customHeight="1" ht="11.25">
      <c r="A35" s="1075" t="s">
        <v>1600</v>
      </c>
      <c r="O35" s="1075" t="s">
        <v>1326</v>
      </c>
      <c r="AX35" s="1121" t="s">
        <v>1601</v>
      </c>
      <c r="AZ35" s="1068" t="s">
        <v>1602</v>
      </c>
      <c r="BE35" s="1121">
        <v>2033</v>
      </c>
      <c r="BL35" s="1069" t="s">
        <v>1603</v>
      </c>
    </row>
    <row customHeight="1" ht="11.25">
      <c r="A36" s="1871" t="s">
        <v>1604</v>
      </c>
      <c r="D36" s="1112" t="s">
        <v>1605</v>
      </c>
      <c r="E36" s="1113" t="s">
        <v>826</v>
      </c>
      <c r="F36" s="1114" t="str">
        <f>INDEX(E37:E41,MATCH(TEMPLATE_SPHERE,F37:F41,0))</f>
        <v>теплоснабжения</v>
      </c>
      <c r="G36" s="1114" t="str">
        <f>INDEX(G37:G41,MATCH(TEMPLATE_SPHERE,F37:F41,0))</f>
        <v>теплоснабжение</v>
      </c>
      <c r="O36" s="1075" t="s">
        <v>1349</v>
      </c>
      <c r="AX36" s="1121" t="s">
        <v>1606</v>
      </c>
      <c r="AZ36" s="1121" t="s">
        <v>1236</v>
      </c>
      <c r="BE36" s="1121">
        <v>2034</v>
      </c>
      <c r="BL36" s="1069" t="s">
        <v>1607</v>
      </c>
    </row>
    <row customHeight="1" ht="11.25">
      <c r="A37" s="1075" t="s">
        <v>1608</v>
      </c>
      <c r="E37" s="408" t="s">
        <v>1609</v>
      </c>
      <c r="F37" s="1115" t="s">
        <v>826</v>
      </c>
      <c r="G37" s="408" t="s">
        <v>1610</v>
      </c>
      <c r="O37" s="1075" t="s">
        <v>1368</v>
      </c>
      <c r="AX37" s="1121" t="s">
        <v>1611</v>
      </c>
      <c r="AZ37" s="1121" t="s">
        <v>463</v>
      </c>
      <c r="BE37" s="1121">
        <v>2035</v>
      </c>
    </row>
    <row customHeight="1" ht="11.25">
      <c r="A38" s="1075" t="s">
        <v>1612</v>
      </c>
      <c r="E38" s="408" t="s">
        <v>1613</v>
      </c>
      <c r="F38" s="1116" t="s">
        <v>872</v>
      </c>
      <c r="G38" s="408" t="s">
        <v>1614</v>
      </c>
      <c r="O38" s="1075" t="s">
        <v>1385</v>
      </c>
      <c r="AX38" s="1121" t="s">
        <v>1615</v>
      </c>
      <c r="AZ38" s="1121" t="s">
        <v>1294</v>
      </c>
      <c r="BE38" s="1121">
        <v>2036</v>
      </c>
      <c r="BH38" s="1068" t="s">
        <v>1616</v>
      </c>
      <c r="BJ38" s="1068" t="s">
        <v>1617</v>
      </c>
      <c r="BL38" s="1068" t="s">
        <v>1618</v>
      </c>
      <c r="BN38" s="1068" t="s">
        <v>1619</v>
      </c>
    </row>
    <row customHeight="1" ht="11.25">
      <c r="A39" s="1075" t="s">
        <v>1620</v>
      </c>
      <c r="E39" s="408" t="s">
        <v>1621</v>
      </c>
      <c r="F39" s="1116" t="s">
        <v>925</v>
      </c>
      <c r="G39" s="408" t="s">
        <v>1622</v>
      </c>
      <c r="O39" s="1075" t="s">
        <v>1401</v>
      </c>
      <c r="AX39" s="1121" t="s">
        <v>1623</v>
      </c>
      <c r="AZ39" s="1121" t="s">
        <v>466</v>
      </c>
      <c r="BE39" s="1121">
        <v>2037</v>
      </c>
      <c r="BH39" s="1069" t="s">
        <v>1624</v>
      </c>
      <c r="BJ39" s="1218" t="s">
        <v>1624</v>
      </c>
      <c r="BL39" s="1218" t="s">
        <v>1624</v>
      </c>
      <c r="BN39" s="1069" t="s">
        <v>1625</v>
      </c>
    </row>
    <row customHeight="1" ht="11.25">
      <c r="A40" s="1075" t="s">
        <v>1626</v>
      </c>
      <c r="E40" s="408" t="s">
        <v>1627</v>
      </c>
      <c r="F40" s="1116" t="s">
        <v>912</v>
      </c>
      <c r="G40" s="408" t="s">
        <v>1628</v>
      </c>
      <c r="O40" s="1075" t="s">
        <v>1417</v>
      </c>
      <c r="AX40" s="1121" t="s">
        <v>1629</v>
      </c>
      <c r="BE40" s="1121">
        <v>2038</v>
      </c>
      <c r="BH40" s="1069" t="s">
        <v>1630</v>
      </c>
      <c r="BJ40" s="1218" t="s">
        <v>1045</v>
      </c>
      <c r="BL40" s="1218" t="s">
        <v>1045</v>
      </c>
      <c r="BN40" s="1069" t="s">
        <v>1079</v>
      </c>
    </row>
    <row customHeight="1" ht="11.25">
      <c r="A41" s="1075" t="s">
        <v>1631</v>
      </c>
      <c r="E41" s="408" t="s">
        <v>1632</v>
      </c>
      <c r="F41" s="1116" t="s">
        <v>1633</v>
      </c>
      <c r="G41" s="408" t="s">
        <v>1632</v>
      </c>
      <c r="O41" s="1075" t="s">
        <v>1433</v>
      </c>
      <c r="AX41" s="1121" t="s">
        <v>1634</v>
      </c>
      <c r="AZ41" s="1068" t="s">
        <v>1635</v>
      </c>
      <c r="BE41" s="1121">
        <v>2039</v>
      </c>
      <c r="BH41" s="1069" t="s">
        <v>1636</v>
      </c>
      <c r="BJ41" s="1218" t="s">
        <v>1041</v>
      </c>
      <c r="BL41" s="1218" t="s">
        <v>1041</v>
      </c>
      <c r="BN41" s="1069" t="s">
        <v>1066</v>
      </c>
    </row>
    <row customHeight="1" ht="11.25">
      <c r="A42" s="1075" t="s">
        <v>1637</v>
      </c>
      <c r="AX42" s="1121" t="s">
        <v>1638</v>
      </c>
      <c r="AZ42" s="1121" t="s">
        <v>465</v>
      </c>
      <c r="BE42" s="1121">
        <v>2040</v>
      </c>
      <c r="BH42" s="1069" t="s">
        <v>1063</v>
      </c>
      <c r="BJ42" s="1218" t="s">
        <v>1043</v>
      </c>
      <c r="BL42" s="1218" t="s">
        <v>1043</v>
      </c>
      <c r="BN42" s="1069" t="s">
        <v>1639</v>
      </c>
    </row>
    <row customHeight="1" ht="11.25">
      <c r="A43" s="1075" t="s">
        <v>1640</v>
      </c>
      <c r="AX43" s="1121" t="s">
        <v>1641</v>
      </c>
      <c r="AZ43" s="1121" t="s">
        <v>1260</v>
      </c>
      <c r="BE43" s="1121">
        <v>2041</v>
      </c>
      <c r="BH43" s="1069" t="s">
        <v>1642</v>
      </c>
      <c r="BJ43" s="1218" t="s">
        <v>1636</v>
      </c>
      <c r="BL43" s="1218" t="s">
        <v>1636</v>
      </c>
      <c r="BN43" s="1069" t="s">
        <v>1643</v>
      </c>
    </row>
    <row customHeight="1" ht="11.25">
      <c r="A44" s="1075" t="s">
        <v>1644</v>
      </c>
      <c r="G44" s="1095">
        <f>YEAR(TODAY())</f>
        <v>2026</v>
      </c>
      <c r="I44" s="800" t="s">
        <v>1645</v>
      </c>
      <c r="J44" s="1090" t="s">
        <v>1646</v>
      </c>
      <c r="K44" s="1090" t="s">
        <v>1647</v>
      </c>
      <c r="AX44" s="1121" t="s">
        <v>1648</v>
      </c>
      <c r="AZ44" s="1121" t="s">
        <v>1293</v>
      </c>
      <c r="BE44" s="1121">
        <v>2042</v>
      </c>
      <c r="BH44" s="1069" t="s">
        <v>1649</v>
      </c>
      <c r="BJ44" s="1218" t="s">
        <v>1063</v>
      </c>
      <c r="BL44" s="1218" t="s">
        <v>1063</v>
      </c>
      <c r="BN44" s="1069" t="s">
        <v>1650</v>
      </c>
    </row>
    <row customHeight="1" ht="11.25">
      <c r="A45" s="1075" t="s">
        <v>1651</v>
      </c>
      <c r="D45" s="1112" t="s">
        <v>1652</v>
      </c>
      <c r="E45" s="1113" t="s">
        <v>1653</v>
      </c>
      <c r="F45" s="798" t="s">
        <v>1654</v>
      </c>
      <c r="G45" s="797" t="s">
        <v>1655</v>
      </c>
      <c r="H45" s="800" t="s">
        <v>1656</v>
      </c>
      <c r="I45" s="1742">
        <f>INDEX(PeriodIsEmptyList,MATCH(TEMPLATE_GROUP,CodeTemplateList,0),1)</f>
        <v>0</v>
      </c>
      <c r="J45" s="1745" t="str">
        <f>INDEX(NameTemplatesInTitleList,MATCH(TEMPLATE_GROUP,CodeTemplateList,0),1)</f>
        <v>Предложение регулируемой организации об установлении тарифов в сфере теплоснабжения, информация о способах приобретения, стоимости и объемах товаров, необходимых для производства регулируемых товаров и (или) оказания регулируемых услуг</v>
      </c>
      <c r="K45" s="1745" t="str">
        <f>"Перечень муниципальных районов и муниципальных образований (территорий "&amp;IF(OR(TEMPLATE_GROUP="P",TEMPLATE_GROUP="R",TEMPLATE_GROUP="Q"),"действия тарифа","оказания услуг")&amp;")"</f>
        <v>Перечень муниципальных районов и муниципальных образований (территорий действия тарифа)</v>
      </c>
      <c r="AX45" s="1121" t="s">
        <v>1657</v>
      </c>
      <c r="AZ45" s="1121" t="s">
        <v>1326</v>
      </c>
      <c r="BE45" s="1121">
        <v>2043</v>
      </c>
      <c r="BH45" s="1069" t="s">
        <v>1658</v>
      </c>
      <c r="BJ45" s="1218" t="s">
        <v>1057</v>
      </c>
      <c r="BL45" s="1218" t="s">
        <v>1057</v>
      </c>
      <c r="BN45" s="1069" t="s">
        <v>1659</v>
      </c>
    </row>
    <row customHeight="1" ht="11.25">
      <c r="A46" s="1075" t="s">
        <v>1660</v>
      </c>
      <c r="E46" s="408" t="s">
        <v>26</v>
      </c>
      <c r="F46" s="1115" t="s">
        <v>1661</v>
      </c>
      <c r="G46" s="1117" t="str">
        <f>_xlfn.IFERROR(IF(TITLE_DATE_FIL="","01.01."&amp;CURRENT_YEAR,"01.01."&amp;YEAR(TITLE_DATE_FIL)),"01.01."&amp;CURRENT_YEAR)</f>
        <v>01.01.2026</v>
      </c>
      <c r="H46" s="1117" t="str">
        <f>_xlfn.IFERROR(IF(TITLE_DATE_FIL="","31.12."&amp;CURRENT_YEAR,"31.12."&amp;YEAR(TITLE_DATE_FIL)),"31.12."&amp;CURRENT_YEAR)</f>
        <v>31.12.2026</v>
      </c>
      <c r="I46" s="1743">
        <f>IF(TITLE_DATE_FIL="",TRUE,FALSE)</f>
        <v>1</v>
      </c>
      <c r="J46" s="1746" t="str">
        <f>"Общая информация о регулируемой организации ("&amp;TEMPLATE_SPHERE_RUS&amp;")"</f>
        <v>Общая информация о регулируемой организации (теплоснабжения)</v>
      </c>
      <c r="K46" s="1747"/>
      <c r="AX46" s="1121" t="s">
        <v>1662</v>
      </c>
      <c r="AZ46" s="1121" t="s">
        <v>1349</v>
      </c>
      <c r="BE46" s="1121">
        <v>2044</v>
      </c>
      <c r="BH46" s="1069" t="s">
        <v>1066</v>
      </c>
      <c r="BJ46" s="1218" t="s">
        <v>1047</v>
      </c>
      <c r="BL46" s="1218" t="s">
        <v>1047</v>
      </c>
      <c r="BN46" s="1069" t="s">
        <v>1663</v>
      </c>
    </row>
    <row customHeight="1" ht="11.25">
      <c r="A47" s="1075" t="s">
        <v>1664</v>
      </c>
      <c r="E47" s="408" t="s">
        <v>33</v>
      </c>
      <c r="F47" s="1116" t="s">
        <v>1665</v>
      </c>
      <c r="G47" s="1117" t="str">
        <f>_xlfn.IFERROR(IF(f_year="","01.01."&amp;CURRENT_YEAR,IF(LEN(f_quart)=0,"01.01."&amp;f_year,IF(f_quart="I квартал","01.01."&amp;f_year,IF(f_quart="II квартал","01.04."&amp;f_year,(IF(f_quart="III квартал","01.07."&amp;f_year,"01.10."&amp;f_year)))))),"01.01."&amp;CURRENT_YEAR)</f>
        <v>01.01.2026</v>
      </c>
      <c r="H47" s="1117" t="str">
        <f>_xlfn.IFERROR(IF(f_year="","31.12."&amp;CURRENT_YEAR,IF(LEN(f_quart)=0,"31.12."&amp;f_year,IF(f_quart="I квартал","31.03."&amp;f_year,IF(f_quart="II квартал","30.06."&amp;f_year,(IF(f_quart="III квартал","30.09."&amp;f_year,"31.12."&amp;f_year)))))),"31.12."&amp;CURRENT_YEAR)</f>
        <v>31.12.2026</v>
      </c>
      <c r="I47" s="1744">
        <f>IF(OR(f_year="",f_quart=""),TRUE,FALSE)</f>
        <v>1</v>
      </c>
      <c r="J47" s="1746" t="str">
        <f>"Информация о наличии (отсутствии) технической возможности подключения к централизованной системе "&amp;TEMPLATE_SPHERE_RUS&amp;", а также о регистрации и ходе реализации заявок о подключении к централизованной системе "&amp;TEMPLATE_SPHERE_RUS</f>
        <v>Информация о наличии (отсутствии) технической возможности подключения к централизованной системе теплоснабжения, а также о регистрации и ходе реализации заявок о подключении к централизованной системе теплоснабжения</v>
      </c>
      <c r="K47" s="1747"/>
      <c r="AX47" s="1121" t="s">
        <v>1666</v>
      </c>
      <c r="AZ47" s="1121" t="s">
        <v>1368</v>
      </c>
      <c r="BE47" s="1121">
        <v>2045</v>
      </c>
      <c r="BH47" s="1069" t="s">
        <v>1639</v>
      </c>
      <c r="BJ47" s="1218" t="s">
        <v>1049</v>
      </c>
      <c r="BL47" s="1218" t="s">
        <v>1049</v>
      </c>
      <c r="BN47" s="1069" t="s">
        <v>1667</v>
      </c>
    </row>
    <row customHeight="1" ht="11.25">
      <c r="A48" s="1075" t="s">
        <v>1668</v>
      </c>
      <c r="E48" s="408" t="s">
        <v>1669</v>
      </c>
      <c r="F48" s="1116" t="s">
        <v>1670</v>
      </c>
      <c r="G48" s="1117" t="str">
        <f>_xlfn.IFERROR(IF(f_year="","01.01."&amp;CURRENT_YEAR,"01.01."&amp;f_year),"01.01."&amp;CURRENT_YEAR)</f>
        <v>01.01.2026</v>
      </c>
      <c r="H48" s="1117" t="str">
        <f>_xlfn.IFERROR(IF(f_year="","31.12."&amp;CURRENT_YEAR,"31.12."&amp;f_year),"31.12."&amp;CURRENT_YEAR)</f>
        <v>31.12.2026</v>
      </c>
      <c r="I48" s="1743">
        <f>IF(f_year="",TRUE,FALSE)</f>
        <v>1</v>
      </c>
      <c r="J48" s="1746" t="s">
        <v>1671</v>
      </c>
      <c r="K48" s="1747"/>
      <c r="AX48" s="1121" t="s">
        <v>1672</v>
      </c>
      <c r="AZ48" s="1121" t="s">
        <v>1385</v>
      </c>
      <c r="BE48" s="1121">
        <v>2046</v>
      </c>
      <c r="BH48" s="1069" t="s">
        <v>1643</v>
      </c>
      <c r="BJ48" s="1218" t="s">
        <v>1051</v>
      </c>
      <c r="BL48" s="1218" t="s">
        <v>1051</v>
      </c>
      <c r="BN48" s="1069" t="s">
        <v>1673</v>
      </c>
    </row>
    <row customHeight="1" ht="11.25">
      <c r="A49" s="1075" t="s">
        <v>1674</v>
      </c>
      <c r="E49" s="408" t="s">
        <v>1675</v>
      </c>
      <c r="F49" s="1116" t="s">
        <v>1676</v>
      </c>
      <c r="G49" s="1117" t="str">
        <f>_xlfn.IFERROR(IF(f_year="","01.01."&amp;CURRENT_YEAR,"01.01."&amp;f_year),"01.01."&amp;CURRENT_YEAR)</f>
        <v>01.01.2026</v>
      </c>
      <c r="H49" s="1117" t="str">
        <f>_xlfn.IFERROR(IF(f_year="","31.12."&amp;CURRENT_YEAR,"31.12."&amp;f_year),"31.12."&amp;CURRENT_YEAR)</f>
        <v>31.12.2026</v>
      </c>
      <c r="I49" s="1743">
        <f>IF(f_year="",TRUE,FALSE)</f>
        <v>1</v>
      </c>
      <c r="J49" s="1746" t="str">
        <f>"Информация об условиях, на которых осуществляется поставка товаров (оказание услуг) в сфере "&amp;TEMPLATE_SPHERE_RUS</f>
        <v>Информация об условиях, на которых осуществляется поставка товаров (оказание услуг) в сфере теплоснабжения</v>
      </c>
      <c r="K49" s="1747"/>
      <c r="AX49" s="1121" t="s">
        <v>1677</v>
      </c>
      <c r="AZ49" s="1121" t="s">
        <v>1401</v>
      </c>
      <c r="BE49" s="1121">
        <v>2047</v>
      </c>
      <c r="BH49" s="1069" t="s">
        <v>1067</v>
      </c>
      <c r="BJ49" s="1218" t="s">
        <v>1053</v>
      </c>
      <c r="BL49" s="1218" t="s">
        <v>1053</v>
      </c>
    </row>
    <row customHeight="1" ht="11.25">
      <c r="A50" s="1075" t="s">
        <v>1678</v>
      </c>
      <c r="E50" s="408" t="s">
        <v>1679</v>
      </c>
      <c r="F50" s="1116" t="s">
        <v>1037</v>
      </c>
      <c r="G50" s="1117" t="str">
        <f>_xlfn.IFERROR(IF(f_year="","01.01."&amp;CURRENT_YEAR,"01.01."&amp;f_year),"01.01."&amp;CURRENT_YEAR)</f>
        <v>01.01.2026</v>
      </c>
      <c r="H50" s="1117" t="str">
        <f>_xlfn.IFERROR(IF(f_year="","31.12."&amp;CURRENT_YEAR,"31.12."&amp;f_year),"31.12."&amp;CURRENT_YEAR)</f>
        <v>31.12.2026</v>
      </c>
      <c r="I50" s="1743">
        <f>IF(f_year="",TRUE,FALSE)</f>
        <v>1</v>
      </c>
      <c r="J50" s="1746" t="str">
        <f>"Информация об инвестиционных программах регулируемой организации в области "&amp;TEMPLATE_SPHERE_RUS</f>
        <v>Информация об инвестиционных программах регулируемой организации в области теплоснабжения</v>
      </c>
      <c r="K50" s="1747"/>
      <c r="AX50" s="1121" t="s">
        <v>1680</v>
      </c>
      <c r="AZ50" s="1121" t="s">
        <v>1417</v>
      </c>
      <c r="BE50" s="1121">
        <v>2048</v>
      </c>
      <c r="BH50" s="1069" t="s">
        <v>1650</v>
      </c>
      <c r="BJ50" s="1218" t="s">
        <v>1055</v>
      </c>
      <c r="BL50" s="1218" t="s">
        <v>1055</v>
      </c>
    </row>
    <row customHeight="1" ht="11.25">
      <c r="A51" s="1075" t="s">
        <v>1681</v>
      </c>
      <c r="E51" s="408" t="s">
        <v>1682</v>
      </c>
      <c r="F51" s="1116" t="s">
        <v>1653</v>
      </c>
      <c r="G51" s="1117" t="str">
        <f>_xlfn.IFERROR(IF(TITLE_PERIOD_START="","01.01."&amp;CURRENT_YEAR,"01.01."&amp;YEAR(TITLE_PERIOD_START)),"01.01."&amp;CURRENT_YEAR)</f>
        <v>01.01.2024</v>
      </c>
      <c r="H51" s="1117" t="str">
        <f>_xlfn.IFERROR(IF(TITLE_PERIOD_END="","31.12."&amp;CURRENT_YEAR,"31.12."&amp;YEAR(TITLE_PERIOD_END)),"31.12."&amp;CURRENT_YEAR)</f>
        <v>31.12.2028</v>
      </c>
      <c r="I51" s="1744">
        <f>IF(OR(TITLE_PERIOD_START="",TITLE_PERIOD_END=""),TRUE,FALSE)</f>
        <v>0</v>
      </c>
      <c r="J51" s="1746" t="str">
        <f>"Предложение регулируемой организации об установлении тарифов в сфере "&amp;TEMPLATE_SPHERE_RUS&amp;", информация о способах приобретения, стоимости и объемах товаров, необходимых для производства регулируемых товаров и (или) оказания регулируемых услуг"</f>
        <v>Предложение регулируемой организации об установлении тарифов в сфере теплоснабжения, информация о способах приобретения, стоимости и объемах товаров, необходимых для производства регулируемых товаров и (или) оказания регулируемых услуг</v>
      </c>
      <c r="K51" s="1747"/>
      <c r="AX51" s="1121" t="s">
        <v>1683</v>
      </c>
      <c r="AZ51" s="1121" t="s">
        <v>1433</v>
      </c>
      <c r="BE51" s="1121">
        <v>2049</v>
      </c>
      <c r="BH51" s="1069" t="s">
        <v>1659</v>
      </c>
      <c r="BJ51" s="1218" t="s">
        <v>1684</v>
      </c>
      <c r="BL51" s="1218" t="s">
        <v>1684</v>
      </c>
    </row>
    <row customHeight="1" ht="11.25">
      <c r="A52" s="1075" t="s">
        <v>1685</v>
      </c>
      <c r="E52" s="408" t="s">
        <v>1686</v>
      </c>
      <c r="F52" s="1116" t="s">
        <v>1687</v>
      </c>
      <c r="G52" s="1117" t="str">
        <f>_xlfn.IFERROR(IF(TITLE_PERIOD_START="","01.01."&amp;CURRENT_YEAR,"01.01."&amp;YEAR(TITLE_PERIOD_START)),"01.01."&amp;CURRENT_YEAR)</f>
        <v>01.01.2024</v>
      </c>
      <c r="H52" s="1117" t="str">
        <f>_xlfn.IFERROR(IF(TITLE_PERIOD_END="","31.12."&amp;CURRENT_YEAR,"31.12."&amp;YEAR(TITLE_PERIOD_END)),"31.12."&amp;CURRENT_YEAR)</f>
        <v>31.12.2028</v>
      </c>
      <c r="I52" s="1744">
        <f>IF(OR(TITLE_PERIOD_START="",TITLE_PERIOD_END=""),TRUE,FALSE)</f>
        <v>0</v>
      </c>
      <c r="J52" s="1746" t="str">
        <f>"Показатели, подлежащие раскрытию в сфере "&amp;TEMPLATE_SPHERE_RUS&amp;" (цены и тарифы)"</f>
        <v>Показатели, подлежащие раскрытию в сфере теплоснабжения (цены и тарифы)</v>
      </c>
      <c r="K52" s="1747"/>
      <c r="AX52" s="1121" t="s">
        <v>1688</v>
      </c>
      <c r="AZ52" s="1121" t="s">
        <v>1236</v>
      </c>
      <c r="BE52" s="1121">
        <v>2050</v>
      </c>
      <c r="BH52" s="1069" t="s">
        <v>1663</v>
      </c>
      <c r="BJ52" s="1218" t="s">
        <v>1066</v>
      </c>
      <c r="BL52" s="1218" t="s">
        <v>1066</v>
      </c>
    </row>
    <row customHeight="1" ht="11.25">
      <c r="A53" s="1075" t="s">
        <v>1689</v>
      </c>
      <c r="E53" s="408" t="s">
        <v>1690</v>
      </c>
      <c r="F53" s="1116" t="s">
        <v>1690</v>
      </c>
      <c r="G53" s="1117" t="str">
        <f>_xlfn.IFERROR(IF(f_year="","01.01."&amp;CURRENT_YEAR,"01.01."&amp;f_year),"01.01."&amp;CURRENT_YEAR)</f>
        <v>01.01.2026</v>
      </c>
      <c r="H53" s="1117" t="str">
        <f>_xlfn.IFERROR(IF(f_year="","31.12."&amp;CURRENT_YEAR,"31.12."&amp;f_year),"31.12."&amp;CURRENT_YEAR)</f>
        <v>31.12.2026</v>
      </c>
      <c r="I53" s="1743">
        <f>IF(AND(f_year="",TITLE_DATE_FIL=""),TRUE,FALSE)</f>
        <v>1</v>
      </c>
      <c r="J53" s="1746" t="s">
        <v>1691</v>
      </c>
      <c r="K53" s="1747"/>
      <c r="AX53" s="1121" t="s">
        <v>1692</v>
      </c>
      <c r="BE53" s="1121">
        <v>2051</v>
      </c>
      <c r="BH53" s="1069" t="s">
        <v>1667</v>
      </c>
      <c r="BJ53" s="1218" t="s">
        <v>1639</v>
      </c>
      <c r="BL53" s="1218" t="s">
        <v>1639</v>
      </c>
    </row>
    <row customHeight="1" ht="11.25">
      <c r="A54" s="1075" t="s">
        <v>1693</v>
      </c>
      <c r="AX54" s="1121" t="s">
        <v>1694</v>
      </c>
      <c r="AZ54" s="1068" t="s">
        <v>1695</v>
      </c>
      <c r="BE54" s="1121">
        <v>2052</v>
      </c>
      <c r="BH54" s="1069" t="s">
        <v>1673</v>
      </c>
      <c r="BJ54" s="1218" t="s">
        <v>1643</v>
      </c>
      <c r="BL54" s="1218" t="s">
        <v>1643</v>
      </c>
    </row>
    <row customHeight="1" ht="11.25">
      <c r="A55" s="1075" t="s">
        <v>1696</v>
      </c>
      <c r="AX55" s="1121" t="s">
        <v>1697</v>
      </c>
      <c r="AZ55" s="1121" t="s">
        <v>1238</v>
      </c>
      <c r="BE55" s="1121">
        <v>2053</v>
      </c>
      <c r="BH55" s="1071" t="s">
        <v>28</v>
      </c>
      <c r="BJ55" s="1218" t="s">
        <v>1067</v>
      </c>
      <c r="BL55" s="1218" t="s">
        <v>1067</v>
      </c>
    </row>
    <row customHeight="1" ht="11.25">
      <c r="A56" s="1075" t="s">
        <v>1698</v>
      </c>
      <c r="D56" s="1119" t="s">
        <v>1699</v>
      </c>
      <c r="E56" s="1096" t="s">
        <v>119</v>
      </c>
      <c r="F56" s="1075" t="s">
        <v>1700</v>
      </c>
      <c r="AX56" s="1121" t="s">
        <v>1701</v>
      </c>
      <c r="AZ56" s="1121" t="s">
        <v>1261</v>
      </c>
      <c r="BE56" s="1121">
        <v>2054</v>
      </c>
      <c r="BH56" s="1071" t="s">
        <v>28</v>
      </c>
      <c r="BJ56" s="1218" t="s">
        <v>1650</v>
      </c>
      <c r="BL56" s="1218" t="s">
        <v>1650</v>
      </c>
    </row>
    <row customHeight="1" ht="11.25">
      <c r="A57" s="1075" t="s">
        <v>1702</v>
      </c>
      <c r="D57" s="1119" t="s">
        <v>1703</v>
      </c>
      <c r="E57" s="1096" t="s">
        <v>119</v>
      </c>
      <c r="F57" s="1075" t="s">
        <v>1700</v>
      </c>
      <c r="AX57" s="1121" t="s">
        <v>1704</v>
      </c>
      <c r="AZ57" s="1121" t="s">
        <v>1296</v>
      </c>
      <c r="BE57" s="1121">
        <v>2055</v>
      </c>
      <c r="BJ57" s="1218" t="s">
        <v>1659</v>
      </c>
      <c r="BL57" s="1218" t="s">
        <v>1659</v>
      </c>
    </row>
    <row customHeight="1" ht="11.25">
      <c r="A58" s="1075" t="s">
        <v>1705</v>
      </c>
      <c r="D58" s="1119" t="s">
        <v>1706</v>
      </c>
      <c r="E58" s="1096" t="s">
        <v>119</v>
      </c>
      <c r="F58" s="1075" t="s">
        <v>1700</v>
      </c>
      <c r="AX58" s="1121" t="s">
        <v>1707</v>
      </c>
      <c r="BE58" s="1121">
        <v>2056</v>
      </c>
      <c r="BJ58" s="1218" t="s">
        <v>1663</v>
      </c>
      <c r="BL58" s="1218" t="s">
        <v>1663</v>
      </c>
    </row>
    <row customHeight="1" ht="11.25">
      <c r="A59" s="1075" t="s">
        <v>1708</v>
      </c>
      <c r="D59" s="1119" t="s">
        <v>139</v>
      </c>
      <c r="E59" s="1096" t="s">
        <v>1595</v>
      </c>
      <c r="F59" s="1075" t="s">
        <v>1709</v>
      </c>
      <c r="AX59" s="1121" t="s">
        <v>1710</v>
      </c>
      <c r="AZ59" s="1068" t="s">
        <v>1711</v>
      </c>
      <c r="BE59" s="1121">
        <v>2057</v>
      </c>
      <c r="BJ59" s="1218" t="s">
        <v>1667</v>
      </c>
      <c r="BL59" s="1218" t="s">
        <v>1667</v>
      </c>
    </row>
    <row customHeight="1" ht="11.25">
      <c r="A60" s="1075" t="s">
        <v>1712</v>
      </c>
      <c r="D60" s="1119" t="s">
        <v>1713</v>
      </c>
      <c r="E60" s="1096" t="s">
        <v>1595</v>
      </c>
      <c r="F60" s="1075" t="s">
        <v>1709</v>
      </c>
      <c r="AX60" s="1121" t="s">
        <v>1714</v>
      </c>
      <c r="AZ60" s="1121" t="s">
        <v>1239</v>
      </c>
      <c r="BE60" s="1121">
        <v>2058</v>
      </c>
      <c r="BJ60" s="1218" t="s">
        <v>1673</v>
      </c>
      <c r="BL60" s="1218" t="s">
        <v>1673</v>
      </c>
    </row>
    <row customHeight="1" ht="11.25">
      <c r="A61" s="1075" t="s">
        <v>1715</v>
      </c>
      <c r="D61" s="1119" t="s">
        <v>1716</v>
      </c>
      <c r="E61" s="1096" t="s">
        <v>1717</v>
      </c>
      <c r="F61" s="1075" t="s">
        <v>1709</v>
      </c>
      <c r="AX61" s="1121" t="s">
        <v>1718</v>
      </c>
      <c r="AZ61" s="1121" t="s">
        <v>1262</v>
      </c>
      <c r="BE61" s="1121">
        <v>2059</v>
      </c>
      <c r="BL61" s="1218" t="s">
        <v>1059</v>
      </c>
    </row>
    <row customHeight="1" ht="11.25">
      <c r="A62" s="1075" t="s">
        <v>1719</v>
      </c>
      <c r="D62" s="1119" t="s">
        <v>138</v>
      </c>
      <c r="E62" s="1096">
        <v>31</v>
      </c>
      <c r="F62" s="1075" t="s">
        <v>1709</v>
      </c>
      <c r="AZ62" s="1121" t="s">
        <v>1297</v>
      </c>
      <c r="BE62" s="1121">
        <v>2060</v>
      </c>
      <c r="BL62" s="1218" t="s">
        <v>1061</v>
      </c>
    </row>
    <row customHeight="1" ht="11.25">
      <c r="A63" s="1075" t="s">
        <v>1720</v>
      </c>
      <c r="D63" s="1119" t="s">
        <v>1721</v>
      </c>
      <c r="E63" s="1096">
        <v>31</v>
      </c>
      <c r="F63" s="1075" t="s">
        <v>1709</v>
      </c>
      <c r="AZ63" s="1121" t="s">
        <v>1327</v>
      </c>
      <c r="BE63" s="1121">
        <v>2061</v>
      </c>
    </row>
    <row customHeight="1" ht="11.25">
      <c r="A64" s="1075" t="s">
        <v>1722</v>
      </c>
      <c r="D64" s="1119" t="s">
        <v>1723</v>
      </c>
      <c r="E64" s="1096">
        <v>31</v>
      </c>
      <c r="F64" s="1075" t="s">
        <v>1709</v>
      </c>
      <c r="AZ64" s="1121" t="s">
        <v>1350</v>
      </c>
      <c r="BE64" s="1121">
        <v>2062</v>
      </c>
    </row>
    <row customHeight="1" ht="11.25">
      <c r="A65" s="1075" t="s">
        <v>1724</v>
      </c>
      <c r="D65" s="1075"/>
      <c r="BE65" s="1121">
        <v>2063</v>
      </c>
    </row>
    <row customHeight="1" ht="11.25">
      <c r="A66" s="1075" t="s">
        <v>1725</v>
      </c>
      <c r="AZ66" s="1068" t="s">
        <v>1726</v>
      </c>
      <c r="BE66" s="1121">
        <v>2064</v>
      </c>
    </row>
    <row customHeight="1" ht="11.25">
      <c r="A67" s="1075" t="s">
        <v>1727</v>
      </c>
      <c r="AZ67" s="1121" t="s">
        <v>1240</v>
      </c>
      <c r="BE67" s="1121">
        <v>2065</v>
      </c>
    </row>
    <row customHeight="1" ht="11.25">
      <c r="A68" s="1075" t="s">
        <v>1728</v>
      </c>
      <c r="AZ68" s="1121" t="s">
        <v>1263</v>
      </c>
      <c r="BE68" s="1121">
        <v>2066</v>
      </c>
      <c r="BH68" s="1068" t="s">
        <v>1729</v>
      </c>
      <c r="BJ68" s="1068" t="s">
        <v>1730</v>
      </c>
      <c r="BL68" s="1068" t="s">
        <v>1731</v>
      </c>
      <c r="BN68" s="1068" t="s">
        <v>1732</v>
      </c>
    </row>
    <row customHeight="1" ht="11.25">
      <c r="A69" s="1075" t="s">
        <v>1733</v>
      </c>
      <c r="AZ69" s="1121" t="s">
        <v>1298</v>
      </c>
      <c r="BE69" s="1121">
        <v>2067</v>
      </c>
      <c r="BH69" s="1069" t="s">
        <v>1734</v>
      </c>
      <c r="BI69" s="1118" t="s">
        <v>118</v>
      </c>
      <c r="BJ69" s="1069" t="s">
        <v>1735</v>
      </c>
      <c r="BK69" s="1118" t="s">
        <v>118</v>
      </c>
      <c r="BL69" s="1069" t="s">
        <v>1736</v>
      </c>
      <c r="BM69" s="1071" t="s">
        <v>118</v>
      </c>
      <c r="BN69" s="1069" t="s">
        <v>1737</v>
      </c>
    </row>
    <row customHeight="1" ht="11.25">
      <c r="A70" s="1075" t="s">
        <v>1738</v>
      </c>
      <c r="AZ70" s="1121" t="s">
        <v>1328</v>
      </c>
      <c r="BE70" s="1121">
        <v>2068</v>
      </c>
      <c r="BH70" s="1069" t="s">
        <v>1739</v>
      </c>
      <c r="BJ70" s="1069" t="s">
        <v>1740</v>
      </c>
      <c r="BL70" s="1069" t="s">
        <v>1741</v>
      </c>
      <c r="BN70" s="1069" t="s">
        <v>1742</v>
      </c>
    </row>
    <row customHeight="1" ht="11.25">
      <c r="A71" s="1075" t="s">
        <v>1743</v>
      </c>
      <c r="AZ71" s="1121" t="s">
        <v>1330</v>
      </c>
      <c r="BE71" s="1121">
        <v>2069</v>
      </c>
      <c r="BH71" s="1069" t="s">
        <v>1744</v>
      </c>
      <c r="BI71" s="1118" t="s">
        <v>91</v>
      </c>
      <c r="BJ71" s="1069" t="s">
        <v>1745</v>
      </c>
      <c r="BK71" s="1118" t="s">
        <v>91</v>
      </c>
      <c r="BL71" s="1069" t="s">
        <v>1746</v>
      </c>
      <c r="BM71" s="1071" t="s">
        <v>91</v>
      </c>
      <c r="BN71" s="1069" t="s">
        <v>1747</v>
      </c>
    </row>
    <row customHeight="1" ht="11.25">
      <c r="A72" s="1075" t="s">
        <v>1748</v>
      </c>
      <c r="AZ72" s="1121" t="s">
        <v>19</v>
      </c>
      <c r="BE72" s="1121">
        <v>2070</v>
      </c>
      <c r="BH72" s="1069" t="s">
        <v>1749</v>
      </c>
      <c r="BJ72" s="1069" t="s">
        <v>1749</v>
      </c>
      <c r="BL72" s="1069" t="s">
        <v>1749</v>
      </c>
      <c r="BN72" s="1069" t="s">
        <v>1750</v>
      </c>
    </row>
    <row customHeight="1" ht="11.25">
      <c r="A73" s="1075" t="s">
        <v>1751</v>
      </c>
      <c r="BH73" s="1069" t="s">
        <v>1752</v>
      </c>
      <c r="BI73" s="1118" t="s">
        <v>119</v>
      </c>
      <c r="BJ73" s="1069" t="s">
        <v>1753</v>
      </c>
      <c r="BK73" s="1118" t="s">
        <v>119</v>
      </c>
      <c r="BL73" s="1069" t="s">
        <v>1754</v>
      </c>
      <c r="BM73" s="1071" t="s">
        <v>119</v>
      </c>
      <c r="BN73" s="1069" t="s">
        <v>1755</v>
      </c>
    </row>
    <row customHeight="1" ht="11.25">
      <c r="A74" s="1075" t="s">
        <v>1756</v>
      </c>
      <c r="BH74" s="1069" t="s">
        <v>1757</v>
      </c>
      <c r="BJ74" s="1069" t="s">
        <v>1758</v>
      </c>
      <c r="BL74" s="1069" t="s">
        <v>1759</v>
      </c>
      <c r="BN74" s="1069" t="s">
        <v>1760</v>
      </c>
    </row>
    <row customHeight="1" ht="11.25">
      <c r="A75" s="1075" t="s">
        <v>1761</v>
      </c>
      <c r="AZ75" s="1068" t="s">
        <v>1762</v>
      </c>
      <c r="BH75" s="1069" t="s">
        <v>1763</v>
      </c>
      <c r="BJ75" s="1069" t="s">
        <v>1763</v>
      </c>
      <c r="BL75" s="1069" t="s">
        <v>1763</v>
      </c>
    </row>
    <row customHeight="1" ht="11.25">
      <c r="A76" s="1075" t="s">
        <v>1764</v>
      </c>
      <c r="AZ76" s="1121" t="s">
        <v>1249</v>
      </c>
      <c r="BH76" s="1069" t="s">
        <v>1765</v>
      </c>
      <c r="BJ76" s="1069" t="s">
        <v>1766</v>
      </c>
      <c r="BL76" s="1069" t="s">
        <v>1767</v>
      </c>
    </row>
    <row customHeight="1" ht="11.25">
      <c r="A77" s="1075" t="s">
        <v>1768</v>
      </c>
      <c r="AZ77" s="1121" t="s">
        <v>1273</v>
      </c>
    </row>
    <row customHeight="1" ht="11.25">
      <c r="A78" s="1075" t="s">
        <v>1769</v>
      </c>
      <c r="AZ78" s="1121" t="s">
        <v>1305</v>
      </c>
    </row>
    <row customHeight="1" ht="11.25">
      <c r="A79" s="1075" t="s">
        <v>1770</v>
      </c>
      <c r="AZ79" s="1121" t="s">
        <v>1334</v>
      </c>
      <c r="BH79" s="1068" t="s">
        <v>1771</v>
      </c>
      <c r="BJ79" s="1068" t="s">
        <v>1772</v>
      </c>
      <c r="BL79" s="1068" t="s">
        <v>1773</v>
      </c>
    </row>
    <row customHeight="1" ht="11.25">
      <c r="A80" s="1075" t="s">
        <v>1774</v>
      </c>
      <c r="AZ80" s="1121" t="s">
        <v>1355</v>
      </c>
      <c r="BH80" s="1069" t="s">
        <v>1775</v>
      </c>
      <c r="BJ80" s="1069" t="s">
        <v>1776</v>
      </c>
      <c r="BL80" s="1069" t="s">
        <v>1777</v>
      </c>
    </row>
    <row customHeight="1" ht="11.25">
      <c r="A81" s="1075" t="s">
        <v>1778</v>
      </c>
      <c r="AZ81" s="1121" t="s">
        <v>1372</v>
      </c>
      <c r="BH81" s="1069" t="s">
        <v>1779</v>
      </c>
      <c r="BJ81" s="1069" t="s">
        <v>1780</v>
      </c>
      <c r="BL81" s="1069" t="s">
        <v>1781</v>
      </c>
    </row>
    <row customHeight="1" ht="11.25">
      <c r="A82" s="1075" t="s">
        <v>1782</v>
      </c>
      <c r="AZ82" s="1121" t="s">
        <v>1387</v>
      </c>
      <c r="BH82" s="1069" t="s">
        <v>1783</v>
      </c>
      <c r="BJ82" s="1069" t="s">
        <v>1784</v>
      </c>
      <c r="BL82" s="1069" t="s">
        <v>1785</v>
      </c>
    </row>
    <row customHeight="1" ht="11.25">
      <c r="A83" s="1075" t="s">
        <v>1786</v>
      </c>
      <c r="BH83" s="1069" t="s">
        <v>1787</v>
      </c>
      <c r="BJ83" s="1069" t="s">
        <v>1788</v>
      </c>
      <c r="BL83" s="1069" t="s">
        <v>1789</v>
      </c>
    </row>
    <row customHeight="1" ht="11.25">
      <c r="A84" s="1075" t="s">
        <v>1790</v>
      </c>
      <c r="AZ84" s="1068" t="s">
        <v>1791</v>
      </c>
    </row>
    <row customHeight="1" ht="11.25">
      <c r="A85" s="1871" t="s">
        <v>1792</v>
      </c>
      <c r="AZ85" s="1121" t="s">
        <v>1793</v>
      </c>
    </row>
    <row customHeight="1" ht="11.25">
      <c r="A86" s="1075" t="s">
        <v>1794</v>
      </c>
      <c r="AZ86" s="1121" t="s">
        <v>1795</v>
      </c>
      <c r="BH86" s="1068" t="s">
        <v>1796</v>
      </c>
      <c r="BJ86" s="1068" t="s">
        <v>1797</v>
      </c>
      <c r="BL86" s="1068" t="s">
        <v>1798</v>
      </c>
    </row>
    <row customHeight="1" ht="11.25">
      <c r="A87" s="1075" t="s">
        <v>1799</v>
      </c>
      <c r="AZ87" s="1121" t="s">
        <v>1800</v>
      </c>
      <c r="BH87" s="1069" t="s">
        <v>1801</v>
      </c>
      <c r="BJ87" s="1069" t="s">
        <v>1802</v>
      </c>
      <c r="BL87" s="1069" t="s">
        <v>1803</v>
      </c>
    </row>
    <row customHeight="1" ht="11.25">
      <c r="A88" s="1075" t="s">
        <v>1804</v>
      </c>
      <c r="AZ88" s="1607"/>
      <c r="BH88" s="1069" t="s">
        <v>1805</v>
      </c>
      <c r="BJ88" s="1069" t="s">
        <v>1806</v>
      </c>
      <c r="BL88" s="1069" t="s">
        <v>1807</v>
      </c>
    </row>
    <row customHeight="1" ht="11.25">
      <c r="A89" s="1075" t="s">
        <v>1808</v>
      </c>
      <c r="AZ89" s="1068" t="s">
        <v>1809</v>
      </c>
    </row>
    <row customHeight="1" ht="11.25">
      <c r="A90" s="1075" t="s">
        <v>1810</v>
      </c>
      <c r="AZ90" s="1121" t="s">
        <v>1037</v>
      </c>
    </row>
    <row customHeight="1" ht="11.25">
      <c r="A91" s="1075" t="s">
        <v>1811</v>
      </c>
      <c r="AZ91" s="1121" t="s">
        <v>1073</v>
      </c>
      <c r="BH91" s="1068" t="s">
        <v>1812</v>
      </c>
      <c r="BJ91" s="1068" t="s">
        <v>1813</v>
      </c>
      <c r="BL91" s="1068" t="s">
        <v>1814</v>
      </c>
    </row>
    <row customHeight="1" ht="11.25">
      <c r="AZ92" s="1121" t="s">
        <v>1815</v>
      </c>
      <c r="BH92" s="1069" t="s">
        <v>1816</v>
      </c>
      <c r="BJ92" s="1069" t="s">
        <v>1817</v>
      </c>
      <c r="BL92" s="1069" t="s">
        <v>1818</v>
      </c>
    </row>
    <row customHeight="1" ht="11.25">
      <c r="AZ93" s="1121" t="s">
        <v>1819</v>
      </c>
      <c r="BH93" s="1069" t="s">
        <v>1820</v>
      </c>
      <c r="BJ93" s="1069" t="s">
        <v>1821</v>
      </c>
      <c r="BL93" s="1069" t="s">
        <v>1822</v>
      </c>
    </row>
    <row customHeight="1" ht="11.25">
      <c r="AZ94" s="1121" t="s">
        <v>1823</v>
      </c>
    </row>
    <row r="96" customHeight="1" ht="11.25">
      <c r="AZ96" s="1068" t="s">
        <v>1824</v>
      </c>
      <c r="BH96" s="1068" t="s">
        <v>1825</v>
      </c>
      <c r="BJ96" s="1068" t="s">
        <v>1826</v>
      </c>
      <c r="BL96" s="1068" t="s">
        <v>1827</v>
      </c>
      <c r="BN96" s="1068" t="s">
        <v>1828</v>
      </c>
    </row>
    <row customHeight="1" ht="11.25">
      <c r="AZ97" s="1902" t="s">
        <v>1829</v>
      </c>
      <c r="BA97" s="1903" t="s">
        <v>1830</v>
      </c>
      <c r="BH97" s="1069" t="s">
        <v>1831</v>
      </c>
      <c r="BJ97" s="1069" t="s">
        <v>1832</v>
      </c>
      <c r="BL97" s="1069" t="s">
        <v>1833</v>
      </c>
      <c r="BN97" s="1069" t="s">
        <v>1834</v>
      </c>
    </row>
    <row customHeight="1" ht="11.25">
      <c r="AZ98" s="1902" t="s">
        <v>1835</v>
      </c>
      <c r="BA98" s="1903" t="s">
        <v>1836</v>
      </c>
      <c r="BH98" s="1069" t="s">
        <v>1837</v>
      </c>
      <c r="BJ98" s="1069" t="s">
        <v>1838</v>
      </c>
      <c r="BL98" s="1069" t="s">
        <v>1839</v>
      </c>
      <c r="BN98" s="1069" t="s">
        <v>1840</v>
      </c>
    </row>
    <row customHeight="1" ht="22.5">
      <c r="AZ99" s="1902" t="s">
        <v>1841</v>
      </c>
      <c r="BA99" s="1903" t="str">
        <f>"не позднее чем за "&amp;IF(TEMPLATE_SPHERE="TKO","3","10")&amp;" дней до дня проведения заседания правления"</f>
        <v>не позднее чем за 10 дней до дня проведения заседания правления</v>
      </c>
      <c r="BH99" s="1069" t="s">
        <v>1842</v>
      </c>
      <c r="BJ99" s="1069" t="s">
        <v>1843</v>
      </c>
      <c r="BL99" s="1069" t="s">
        <v>1844</v>
      </c>
      <c r="BN99" s="1069" t="s">
        <v>1845</v>
      </c>
    </row>
    <row customHeight="1" ht="22.5">
      <c r="AZ100" s="1902" t="s">
        <v>1846</v>
      </c>
      <c r="BA100" s="1903" t="str">
        <f>"в течение "&amp;IF(TEMPLATE_SPHERE="HEAT","5","7")&amp;" рабочих дней со дня принятия соответствующего решения"</f>
        <v>в течение 5 рабочих дней со дня принятия соответствующего решения</v>
      </c>
      <c r="BJ100" s="1069" t="s">
        <v>1433</v>
      </c>
      <c r="BL100" s="1069" t="s">
        <v>1433</v>
      </c>
      <c r="BN100" s="1069" t="s">
        <v>1847</v>
      </c>
    </row>
    <row customHeight="1" ht="22.5">
      <c r="AZ101" s="1902" t="s">
        <v>1848</v>
      </c>
      <c r="BA101" s="1903" t="s">
        <v>1849</v>
      </c>
      <c r="BN101" s="1069" t="s">
        <v>1850</v>
      </c>
    </row>
    <row customHeight="1" ht="22.5">
      <c r="AZ102" s="1902" t="s">
        <v>1851</v>
      </c>
      <c r="BA102" s="1903" t="str">
        <f>"в течение "&amp;IF(TEMPLATE_SPHERE="HEAT","5","7")&amp;" рабочих дней со дня принятия соответствующего решения"</f>
        <v>в течение 5 рабочих дней со дня принятия соответствующего решения</v>
      </c>
      <c r="BN102" s="1069" t="s">
        <v>1852</v>
      </c>
    </row>
    <row customHeight="1" ht="11.25">
      <c r="AZ103" s="1902" t="s">
        <v>1853</v>
      </c>
      <c r="BA103" s="1903" t="s">
        <v>1854</v>
      </c>
      <c r="BN103" s="1069" t="s">
        <v>1855</v>
      </c>
    </row>
    <row customHeight="1" ht="11.25">
      <c r="BN104" s="1069" t="s">
        <v>1856</v>
      </c>
    </row>
    <row customHeight="1" ht="11.25">
      <c r="AZ105" s="1693" t="s">
        <v>1857</v>
      </c>
    </row>
    <row customHeight="1" ht="11.25">
      <c r="AZ106" s="1121" t="s">
        <v>1858</v>
      </c>
    </row>
    <row customHeight="1" ht="11.25">
      <c r="AZ107" s="1121" t="s">
        <v>1859</v>
      </c>
      <c r="BH107" s="1068" t="s">
        <v>1860</v>
      </c>
      <c r="BJ107" s="1068" t="s">
        <v>1861</v>
      </c>
      <c r="BL107" s="1068" t="s">
        <v>1862</v>
      </c>
      <c r="BN107" s="1068" t="s">
        <v>1863</v>
      </c>
    </row>
    <row customHeight="1" ht="11.25">
      <c r="AZ108" s="1121" t="s">
        <v>590</v>
      </c>
      <c r="BH108" s="1069" t="s">
        <v>1864</v>
      </c>
      <c r="BJ108" s="1069" t="s">
        <v>1865</v>
      </c>
      <c r="BL108" s="1069" t="s">
        <v>1519</v>
      </c>
      <c r="BN108" s="1069" t="s">
        <v>1866</v>
      </c>
    </row>
    <row customHeight="1" ht="11.25">
      <c r="BH109" s="1069" t="s">
        <v>1867</v>
      </c>
    </row>
    <row customHeight="1" ht="11.25">
      <c r="AZ110" s="1693" t="s">
        <v>1868</v>
      </c>
      <c r="BH110" s="1069" t="s">
        <v>1867</v>
      </c>
    </row>
    <row customHeight="1" ht="11.25">
      <c r="AZ111" s="1902" t="s">
        <v>1829</v>
      </c>
      <c r="BA111" s="1903" t="s">
        <v>1830</v>
      </c>
    </row>
    <row customHeight="1" ht="11.25">
      <c r="AZ112" s="1902" t="s">
        <v>1835</v>
      </c>
      <c r="BA112" s="1903" t="s">
        <v>1836</v>
      </c>
    </row>
    <row customHeight="1" ht="22.5">
      <c r="AZ113" s="1902" t="s">
        <v>1841</v>
      </c>
      <c r="BA113" s="1903" t="str">
        <f>"не позднее чем за "&amp;IF(TEMPLATE_SPHERE="TKO","3","10")&amp;" дней до дня проведения заседания правления"</f>
        <v>не позднее чем за 10 дней до дня проведения заседания правления</v>
      </c>
    </row>
    <row customHeight="1" ht="22.5">
      <c r="AZ114" s="1902" t="s">
        <v>1846</v>
      </c>
      <c r="BA114" s="1903" t="str">
        <f>"в течение "&amp;IF(TEMPLATE_SPHERE="HEAT","5","7")&amp;" рабочих дней со дня принятия соответствующего решения"</f>
        <v>в течение 5 рабочих дней со дня принятия соответствующего решения</v>
      </c>
      <c r="BH114" s="1068" t="s">
        <v>1869</v>
      </c>
    </row>
    <row customHeight="1" ht="22.5">
      <c r="AZ115" s="1902" t="s">
        <v>1851</v>
      </c>
      <c r="BA115" s="1903" t="str">
        <f>"в течение "&amp;IF(TEMPLATE_SPHERE="HEAT","5","7")&amp;" рабочих дней со дня принятия соответствующего решения"</f>
        <v>в течение 5 рабочих дней со дня принятия соответствующего решения</v>
      </c>
      <c r="BH115" s="1069" t="s">
        <v>1236</v>
      </c>
    </row>
    <row customHeight="1" ht="11.25">
      <c r="AZ116" s="1902" t="s">
        <v>1853</v>
      </c>
      <c r="BA116" s="1903" t="s">
        <v>1854</v>
      </c>
      <c r="BH116" s="1069" t="s">
        <v>463</v>
      </c>
    </row>
    <row customHeight="1" ht="11.25">
      <c r="BH117" s="1069" t="s">
        <v>1294</v>
      </c>
    </row>
    <row customHeight="1" ht="11.25">
      <c r="BH118" s="1069" t="s">
        <v>466</v>
      </c>
    </row>
  </sheetData>
  <sheetProtection formatColumns="0" formatRows="0" sort="0" autoFilter="0" insertRows="0" insertColumns="1" deleteRows="0" deleteColumns="0"/>
  <pageMargins left="0.75" right="0.75" top="1.00" bottom="1.00" header="0.50" footer="0.50"/>
  <pageSetup paperSize="9" pageOrder="downThenOver" orientation="portrait"/>
  <headerFooter>
    <oddHeader>&amp;L&amp;C&amp;R</oddHeader>
    <oddFooter>&amp;L&amp;C&amp;R</oddFooter>
    <evenHeader>&amp;L&amp;C&amp;R</evenHeader>
    <evenFooter>&amp;L&amp;C&amp;R</evenFooter>
  </headerFooter>
  <legacyDrawing r:id="rId2"/>
</worksheet>
</file>

<file path=xl/worksheets/sheet5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2D499A78-D8F8-8BC8-5447-5710690C17E8}" mc:Ignorable="x14ac xr xr2 xr3">
  <dimension ref="A1:J25"/>
  <sheetViews>
    <sheetView showGridLines="0" zoomScale="90" workbookViewId="0">
      <pane xSplit="5" ySplit="11" topLeftCell="F12" activePane="bottomRight" state="frozen"/>
      <selection pane="bottomLeft" activeCell="A12" sqref="A12"/>
      <selection pane="topRight" activeCell="F1" sqref="F1"/>
      <selection pane="bottomRight" activeCell="A1" sqref="A1"/>
    </sheetView>
  </sheetViews>
  <sheetFormatPr defaultColWidth="9.140625" customHeight="1" defaultRowHeight="11.25"/>
  <cols>
    <col min="1" max="2" style="502" width="15.00390625" hidden="1" customWidth="1"/>
    <col min="3" max="3" style="456" width="3.00390625" customWidth="1"/>
    <col min="4" max="4" style="457" width="6.00390625" customWidth="1"/>
    <col min="5" max="5" style="456" width="52.00390625" customWidth="1"/>
    <col min="6" max="6" style="456" width="48.00390625" customWidth="1"/>
    <col min="7" max="7" style="456" width="93.00390625" customWidth="1"/>
    <col min="8" max="8" style="456" width="8.00390625" customWidth="1"/>
    <col min="9" max="9" style="456" width="64.00390625" customWidth="1"/>
    <col min="10" max="10" style="456" width="9.140625" hidden="1"/>
  </cols>
  <sheetData>
    <row customHeight="1" ht="11.25" hidden="1">
      <c r="A1" s="502" t="s">
        <v>316</v>
      </c>
      <c r="J1" s="456" t="s">
        <v>14</v>
      </c>
    </row>
    <row customHeight="1" ht="22.5" hidden="1">
      <c r="A2" s="503"/>
      <c r="B2" s="503"/>
      <c r="C2" s="1731" t="s">
        <v>104</v>
      </c>
      <c r="D2" s="1521"/>
      <c r="E2" s="1527"/>
      <c r="F2" s="1550"/>
      <c r="H2" s="476"/>
      <c r="J2" s="456">
        <v>0</v>
      </c>
    </row>
    <row customHeight="1" ht="11.25" hidden="1">
      <c r="J3" s="456">
        <v>0</v>
      </c>
    </row>
    <row customHeight="1" ht="11.549999999999999">
      <c r="A4" s="1551"/>
      <c r="B4" s="1551"/>
      <c r="J4" s="456">
        <v>11</v>
      </c>
    </row>
    <row customHeight="1" ht="27.299999999999997">
      <c r="D5" s="2239" t="str">
        <f>"Форма "&amp;IF(TEMPLATE_SPHERE="HEAT","2","1")&amp;". Информация об органе регулирования тарифов в сфере "&amp;IF(OR(TEMPLATE_SPHERE="HEAT",TEMPLATE_SPHERE="TKO"),TEMPLATE_SPHERE_RUS,"водоснабжения и водоотведения")&amp;" (далее – орган регулирования тарифов)"</f>
        <v>Форма 2. Информация об органе регулирования тарифов в сфере теплоснабжения (далее – орган регулирования тарифов)</v>
      </c>
      <c r="E5" s="2240"/>
      <c r="F5" s="2241"/>
      <c r="I5" s="716"/>
      <c r="J5" s="456">
        <v>26</v>
      </c>
    </row>
    <row customHeight="1" ht="18">
      <c r="D6" s="2177" t="str">
        <f>IF(region_name=0,"Не определено",region_name)</f>
        <v>Курганская область</v>
      </c>
      <c r="E6" s="2177"/>
      <c r="F6" s="2177"/>
      <c r="I6" s="716"/>
      <c r="J6" s="456">
        <v>17</v>
      </c>
    </row>
    <row s="478" customFormat="1" customHeight="1" ht="11.549999999999999">
      <c r="A7" s="502"/>
      <c r="B7" s="502"/>
      <c r="D7" s="715"/>
      <c r="E7" s="715"/>
      <c r="F7" s="753"/>
      <c r="G7" s="715"/>
      <c r="J7" s="478">
        <v>11</v>
      </c>
    </row>
    <row customHeight="1" ht="11.25" hidden="1">
      <c r="A8" s="503"/>
      <c r="B8" s="503"/>
      <c r="C8" s="458"/>
      <c r="D8" s="464"/>
      <c r="E8" s="2208"/>
      <c r="F8" s="2208"/>
      <c r="J8" s="456">
        <v>0</v>
      </c>
    </row>
    <row customHeight="1" ht="11.549999999999999">
      <c r="A9" s="503"/>
      <c r="B9" s="503"/>
      <c r="C9" s="458"/>
      <c r="D9" s="2205" t="s">
        <v>317</v>
      </c>
      <c r="E9" s="2206"/>
      <c r="F9" s="2206"/>
      <c r="G9" s="2209" t="s">
        <v>318</v>
      </c>
      <c r="J9" s="456">
        <v>11</v>
      </c>
    </row>
    <row customHeight="1" ht="11.549999999999999">
      <c r="A10" s="503"/>
      <c r="B10" s="503"/>
      <c r="C10" s="458"/>
      <c r="D10" s="1475" t="s">
        <v>89</v>
      </c>
      <c r="E10" s="1477" t="s">
        <v>319</v>
      </c>
      <c r="F10" s="1477" t="s">
        <v>320</v>
      </c>
      <c r="G10" s="2210"/>
      <c r="J10" s="456">
        <v>11</v>
      </c>
    </row>
    <row customHeight="1" ht="1.05">
      <c r="A11" s="503"/>
      <c r="B11" s="503"/>
      <c r="C11" s="458"/>
      <c r="D11" s="465"/>
      <c r="E11" s="465"/>
      <c r="F11" s="465"/>
      <c r="G11" s="465"/>
      <c r="J11" s="456">
        <v>1</v>
      </c>
    </row>
    <row customHeight="1" ht="24">
      <c r="A12" s="503"/>
      <c r="B12" s="503"/>
      <c r="C12" s="458"/>
      <c r="D12" s="1521">
        <v>1</v>
      </c>
      <c r="E12" s="475" t="str">
        <f>"Наименование "&amp;IF(TEMPLATE_SPHERE="TKO","регионального органа","органа "&amp;IF(TEMPLATE_SPHERE="HEAT","тарифного ",""))&amp;"регулирования "&amp;IF(TEMPLATE_SPHERE="TKO","(орган местного самоуправления)",IF(TEMPLATE_SPHERE="HEAT","","тарифов"))</f>
        <v>Наименование органа тарифного регулирования </v>
      </c>
      <c r="F12" s="1909" t="str">
        <f>IF(org="","",org)</f>
        <v>ПАО "КГК"</v>
      </c>
      <c r="G12" s="475" t="str">
        <f>"Указывается в соответствии с нормативным правовым актом, на основании которого "&amp;IF(TEMPLATE_SPHERE="TKO","региональный орган","орган "&amp;IF(TEMPLATE_SPHERE="HEAT","тарифного ",""))&amp;" регулирования "&amp;IF(TEMPLATE_SPHERE="TKO","(орган местного самоуправления)",IF(TEMPLATE_SPHERE="HEAT","","тарифов"))&amp;" образован."</f>
        <v>Указывается в соответствии с нормативным правовым актом, на основании которого орган тарифного  регулирования  образован.</v>
      </c>
      <c r="H12" s="1534"/>
      <c r="J12" s="456">
        <v>23</v>
      </c>
    </row>
    <row customHeight="1" ht="19.95">
      <c r="A13" s="503"/>
      <c r="B13" s="503"/>
      <c r="C13" s="458"/>
      <c r="D13" s="1521">
        <v>2</v>
      </c>
      <c r="E13" s="1528" t="s">
        <v>1870</v>
      </c>
      <c r="F13" s="1522" t="s">
        <v>323</v>
      </c>
      <c r="G13" s="475"/>
      <c r="H13" s="1534"/>
      <c r="J13" s="456">
        <v>19</v>
      </c>
    </row>
    <row customHeight="1" ht="19.95">
      <c r="A14" s="503"/>
      <c r="B14" s="503"/>
      <c r="C14" s="458"/>
      <c r="D14" s="1524" t="s">
        <v>727</v>
      </c>
      <c r="E14" s="1525" t="s">
        <v>1871</v>
      </c>
      <c r="F14" s="1527"/>
      <c r="G14" s="1526" t="s">
        <v>1872</v>
      </c>
      <c r="H14" s="1534"/>
      <c r="J14" s="456">
        <v>19</v>
      </c>
    </row>
    <row customHeight="1" ht="19.95">
      <c r="A15" s="503"/>
      <c r="B15" s="503"/>
      <c r="C15" s="458"/>
      <c r="D15" s="1524" t="s">
        <v>324</v>
      </c>
      <c r="E15" s="1525" t="s">
        <v>1873</v>
      </c>
      <c r="F15" s="1527"/>
      <c r="G15" s="1526" t="s">
        <v>1874</v>
      </c>
      <c r="H15" s="1534"/>
      <c r="J15" s="456">
        <v>19</v>
      </c>
    </row>
    <row customHeight="1" ht="24">
      <c r="A16" s="503"/>
      <c r="B16" s="503"/>
      <c r="C16" s="458"/>
      <c r="D16" s="1524" t="s">
        <v>327</v>
      </c>
      <c r="E16" s="1523" t="s">
        <v>1875</v>
      </c>
      <c r="F16" s="1532"/>
      <c r="G16" s="475" t="s">
        <v>1876</v>
      </c>
      <c r="H16" s="1534"/>
      <c r="J16" s="456">
        <v>23</v>
      </c>
    </row>
    <row customHeight="1" ht="48.29999999999999">
      <c r="A17" s="503"/>
      <c r="B17" s="503"/>
      <c r="C17" s="458"/>
      <c r="D17" s="1521">
        <v>3</v>
      </c>
      <c r="E17" s="1528" t="s">
        <v>1877</v>
      </c>
      <c r="F17" s="1527"/>
      <c r="G17" s="475" t="s">
        <v>1878</v>
      </c>
      <c r="H17" s="1534"/>
      <c r="J17" s="456">
        <v>46</v>
      </c>
    </row>
    <row customHeight="1" ht="48.29999999999999">
      <c r="A18" s="1476">
        <v>1</v>
      </c>
      <c r="B18" s="503"/>
      <c r="C18" s="1478"/>
      <c r="D18" s="1521" t="s">
        <v>92</v>
      </c>
      <c r="E18" s="1528" t="s">
        <v>1879</v>
      </c>
      <c r="F18" s="1527"/>
      <c r="G18" s="475" t="s">
        <v>1878</v>
      </c>
      <c r="H18" s="1534"/>
      <c r="I18" s="853"/>
      <c r="J18" s="456">
        <v>46</v>
      </c>
    </row>
    <row customHeight="1" ht="23.25">
      <c r="A19" s="503"/>
      <c r="B19" s="503"/>
      <c r="C19" s="458"/>
      <c r="D19" s="1521" t="s">
        <v>119</v>
      </c>
      <c r="E19" s="1528" t="s">
        <v>1880</v>
      </c>
      <c r="F19" s="1522" t="s">
        <v>323</v>
      </c>
      <c r="G19" s="2472" t="s">
        <v>1881</v>
      </c>
      <c r="H19" s="476"/>
      <c r="J19" s="456">
        <v>22</v>
      </c>
    </row>
    <row s="1531" customFormat="1" customHeight="1" ht="5.25" hidden="1">
      <c r="A20" s="503"/>
      <c r="B20" s="503"/>
      <c r="C20" s="1530"/>
      <c r="D20" s="1529" t="s">
        <v>1134</v>
      </c>
      <c r="E20" s="1015"/>
      <c r="F20" s="1014"/>
      <c r="G20" s="2473"/>
      <c r="J20" s="1531">
        <v>0</v>
      </c>
    </row>
    <row customHeight="1" ht="15.75">
      <c r="A21" s="503"/>
      <c r="B21" s="503"/>
      <c r="C21" s="458"/>
      <c r="D21" s="468"/>
      <c r="E21" s="416" t="s">
        <v>356</v>
      </c>
      <c r="F21" s="470"/>
      <c r="G21" s="2474"/>
      <c r="H21" s="1534"/>
      <c r="J21" s="456">
        <v>15</v>
      </c>
    </row>
    <row s="502" customFormat="1" customHeight="1" ht="26.25">
      <c r="A22" s="503"/>
      <c r="B22" s="503"/>
      <c r="C22" s="503"/>
      <c r="D22" s="1521" t="s">
        <v>93</v>
      </c>
      <c r="E22" s="475" t="s">
        <v>1882</v>
      </c>
      <c r="F22" s="1527"/>
      <c r="G22" s="475" t="s">
        <v>1883</v>
      </c>
      <c r="H22" s="1533"/>
      <c r="J22" s="502">
        <v>25</v>
      </c>
    </row>
    <row s="502" customFormat="1" customHeight="1" ht="19.95">
      <c r="A23" s="503"/>
      <c r="B23" s="503"/>
      <c r="C23" s="503"/>
      <c r="D23" s="1521" t="s">
        <v>94</v>
      </c>
      <c r="E23" s="1528" t="s">
        <v>1884</v>
      </c>
      <c r="F23" s="1532"/>
      <c r="G23" s="475" t="s">
        <v>1885</v>
      </c>
      <c r="H23" s="1533"/>
      <c r="J23" s="502">
        <v>19</v>
      </c>
    </row>
    <row s="502" customFormat="1" customHeight="1" ht="144" hidden="1">
      <c r="A24" s="503"/>
      <c r="B24" s="503"/>
      <c r="C24" s="503"/>
      <c r="D24" s="1521" t="s">
        <v>120</v>
      </c>
      <c r="E24" s="1898" t="str">
        <f>"Доклад, содержащий результаты обобщения правоприменительной практики, в рамках регионального государственного контроля (надзора) в области регулирования "&amp;IF(TEMPLATE_SPHERE="HEAT","цен (тарифов)","тарифов")&amp;" в сфере "&amp;IF(OR(TEMPLATE_SPHERE="HEAT",TEMPLATE_SPHERE="TKO"),TEMPLATE_SPHERE_RUS,"водоснабжения и водоотведения")&amp;" в случае, если региональный государственный контроль (надзор) в области регулирования "&amp;IF(TEMPLATE_SPHERE="HEAT","цен (тарифов)","тарифов")&amp;" в сфере "&amp;IF(OR(TEMPLATE_SPHERE="HEAT",TEMPLATE_SPHERE="TKO"),TEMPLATE_SPHERE_RUS,"водоснабжения и водоотведения")&amp;" в соответствии с положением, утвержденным высшим исполнительным органом субъекта Российской Федерации, осуществляется "&amp;IF(TEMPLATE_SPHERE="TKO","региональным органом регулирования","исполнительным органом субъекта Российской Федерации в области государственного регулирования "&amp;IF(TEMPLATE_SPHERE="HEAT","цен (тарифов)","тарифов"))</f>
        <v>Доклад, содержащий результаты обобщения правоприменительной практики, в рамках регионального государственного контроля (надзора) в области регулирования цен (тарифов) в сфере теплоснабжения в случае, если региональный государственный контроль (надзор) в области регулирования цен (тарифов) в сфере теплоснабжения в соответствии с положением, утвержденным высшим исполнительным органом субъекта Российской Федерации, осуществляется исполнительным органом субъекта Российской Федерации в области государственного регулирования цен (тарифов)</v>
      </c>
      <c r="F24" s="1899"/>
      <c r="G24" s="1897" t="str">
        <f>IF(TEMPLATE_SPHERE="TKO","Раскрывается региональным органом регулирования. ",IF(TEMPLATE_SPHERE="HEAT","Раскрывается исполнительным органом субъекта Российской Федерации в области государственного регулирования цен (тарифов). ",""))&amp;"Указывается ссылка на документ, предварительно загруженный в хранилище файлов ФГИС ЕИАС."</f>
        <v>Раскрывается исполнительным органом субъекта Российской Федерации в области государственного регулирования цен (тарифов). Указывается ссылка на документ, предварительно загруженный в хранилище файлов ФГИС ЕИАС.</v>
      </c>
      <c r="H24" s="1533"/>
      <c r="J24" s="502">
        <v>0</v>
      </c>
    </row>
    <row customHeight="1" ht="11.25" hidden="1">
      <c r="A25" s="502" t="s">
        <v>83</v>
      </c>
      <c r="B25" s="502">
        <v>0</v>
      </c>
      <c r="C25" s="456">
        <v>3</v>
      </c>
      <c r="D25" s="457">
        <v>6</v>
      </c>
      <c r="E25" s="456">
        <v>52</v>
      </c>
      <c r="F25" s="456">
        <v>48</v>
      </c>
      <c r="G25" s="456">
        <v>93</v>
      </c>
      <c r="H25" s="456">
        <v>8</v>
      </c>
      <c r="I25" s="456">
        <v>64</v>
      </c>
      <c r="J25" s="456">
        <v>11</v>
      </c>
    </row>
  </sheetData>
  <sheetProtection formatColumns="0" formatRows="0" autoFilter="0" sort="0" insertRows="0" insertColumns="1" deleteRows="0" deleteColumns="0"/>
  <mergeCells count="6">
    <mergeCell ref="G19:G21"/>
    <mergeCell ref="D5:F5"/>
    <mergeCell ref="D6:F6"/>
    <mergeCell ref="E8:F8"/>
    <mergeCell ref="D9:F9"/>
    <mergeCell ref="G9:G10"/>
  </mergeCells>
  <dataValidations count="2">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F24">
      <formula1>900</formula1>
    </dataValidation>
    <dataValidation type="textLength" operator="lessThanOrEqual" allowBlank="1" showInputMessage="1" showErrorMessage="1" errorTitle="Ошибка" error="Допускается ввод не более 900 символов!" sqref="F12 F14:F18 F22:F23">
      <formula1>900</formula1>
    </dataValidation>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5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6DE4B6E8-D985-2AA6-3935-B329A82CF8BE}" mc:Ignorable="x14ac xr xr2 xr3">
  <dimension ref="A1:IU24"/>
  <sheetViews>
    <sheetView showGridLines="0" zoomScale="90" workbookViewId="0">
      <pane xSplit="5" ySplit="8" topLeftCell="F9" activePane="bottomRight" state="frozen"/>
      <selection pane="bottomLeft" activeCell="A9" sqref="A9"/>
      <selection pane="topRight" activeCell="F1" sqref="F1"/>
      <selection pane="bottomRight" activeCell="A1" sqref="A1"/>
    </sheetView>
  </sheetViews>
  <sheetFormatPr defaultColWidth="9.140625" customHeight="1" defaultRowHeight="14.25"/>
  <cols>
    <col min="1" max="1" style="1636" width="9.140625" hidden="1"/>
    <col min="2" max="2" style="1367" width="9.140625" hidden="1"/>
    <col min="3" max="3" style="1636" width="3.7109375" hidden="1" customWidth="1"/>
    <col min="4" max="4" style="1843" width="3.00390625" customWidth="1"/>
    <col min="5" max="5" style="1636" width="6.00390625" customWidth="1"/>
    <col min="6" max="6" style="1636" width="46.00390625" customWidth="1"/>
    <col min="7" max="8" style="1636" width="16.00390625" customWidth="1"/>
    <col min="9" max="9" style="1636" width="35.00390625" customWidth="1"/>
    <col min="10" max="10" style="1636" width="89.00390625" customWidth="1"/>
    <col min="11" max="11" style="1625" width="3.00390625" customWidth="1"/>
    <col min="12" max="14" style="1625" width="8.00390625" customWidth="1"/>
    <col min="15" max="15" style="1625" width="25.00390625" customWidth="1"/>
    <col min="16" max="16" style="1625" width="14.00390625" customWidth="1"/>
    <col min="17" max="20" style="226" width="8.00390625" customWidth="1"/>
    <col min="21" max="254" style="1636" width="8.00390625" customWidth="1"/>
    <col min="255" max="255" style="1636" width="9.140625" hidden="1"/>
  </cols>
  <sheetData>
    <row customHeight="1" ht="22.5" hidden="1">
      <c r="F1" s="1632" t="s">
        <v>1886</v>
      </c>
      <c r="G1" s="1632" t="s">
        <v>49</v>
      </c>
      <c r="H1" s="1632" t="s">
        <v>51</v>
      </c>
      <c r="IU1" s="1156" t="s">
        <v>14</v>
      </c>
    </row>
    <row s="1851" customFormat="1" customHeight="1" ht="22.5" hidden="1">
      <c r="A2" s="832"/>
      <c r="B2" s="1161">
        <v>1</v>
      </c>
      <c r="C2" s="1161"/>
      <c r="D2" s="1929" t="s">
        <v>104</v>
      </c>
      <c r="E2" s="1485"/>
      <c r="F2" s="1492"/>
      <c r="G2" s="1492"/>
      <c r="H2" s="1492"/>
      <c r="I2" s="1985"/>
      <c r="J2" s="1986"/>
      <c r="K2" s="1536"/>
      <c r="L2" s="512"/>
      <c r="M2" s="512"/>
      <c r="N2" s="501" t="str">
        <f t="array" ref="N2:N2">IF(ISERROR(MATCH(MID(O2,1,250),MID(note_ter,1,250),0)),"n","y")</f>
        <v>n</v>
      </c>
      <c r="O2" s="512"/>
      <c r="P2" s="501" t="str">
        <f>G2&amp;"("&amp;J2&amp;")"</f>
        <v>()</v>
      </c>
      <c r="Q2" s="1161"/>
      <c r="R2" s="1161"/>
      <c r="S2" s="421"/>
      <c r="T2" s="1161"/>
      <c r="U2" s="1161"/>
      <c r="V2" s="1161"/>
      <c r="W2" s="423"/>
      <c r="X2" s="423"/>
      <c r="Y2" s="420"/>
      <c r="Z2" s="420"/>
      <c r="AA2" s="420"/>
      <c r="AB2" s="420"/>
      <c r="AC2" s="420"/>
      <c r="AD2" s="420"/>
      <c r="AE2" s="420"/>
      <c r="AF2" s="420"/>
      <c r="AG2" s="420"/>
      <c r="AH2" s="420"/>
      <c r="AI2" s="420"/>
      <c r="AJ2" s="420"/>
      <c r="AK2" s="420"/>
      <c r="AL2" s="420"/>
      <c r="AM2" s="420"/>
      <c r="AN2" s="420"/>
      <c r="AO2" s="420"/>
      <c r="AP2" s="420"/>
      <c r="AQ2" s="420"/>
      <c r="AR2" s="420"/>
      <c r="AS2" s="420"/>
      <c r="AT2" s="420"/>
      <c r="AU2" s="420"/>
      <c r="AV2" s="420"/>
      <c r="AW2" s="420"/>
      <c r="AX2" s="420"/>
      <c r="AY2" s="420"/>
      <c r="AZ2" s="420"/>
      <c r="BA2" s="420"/>
      <c r="BB2" s="420"/>
      <c r="BC2" s="420"/>
      <c r="BD2" s="420"/>
      <c r="BE2" s="420"/>
      <c r="BF2" s="420"/>
      <c r="BG2" s="420"/>
      <c r="BH2" s="420"/>
      <c r="BI2" s="420"/>
      <c r="BJ2" s="420"/>
      <c r="BK2" s="420"/>
      <c r="BL2" s="420"/>
      <c r="BM2" s="420"/>
      <c r="BN2" s="420"/>
      <c r="BO2" s="420"/>
      <c r="BP2" s="420"/>
      <c r="BQ2" s="420"/>
      <c r="BR2" s="420"/>
      <c r="BS2" s="420"/>
      <c r="BT2" s="423"/>
      <c r="BU2" s="423"/>
      <c r="BV2" s="423"/>
      <c r="BW2" s="423"/>
      <c r="BX2" s="423"/>
      <c r="BY2" s="423"/>
      <c r="BZ2" s="423"/>
      <c r="CA2" s="423"/>
      <c r="CB2" s="423"/>
      <c r="CC2" s="423"/>
      <c r="IU2" s="424">
        <v>0</v>
      </c>
    </row>
    <row s="1643" customFormat="1" customHeight="1" ht="4.2">
      <c r="A3" s="497"/>
      <c r="D3" s="495"/>
      <c r="F3" s="248" t="s">
        <v>84</v>
      </c>
      <c r="G3" s="495" t="s">
        <v>85</v>
      </c>
      <c r="H3" s="495"/>
      <c r="I3" s="495"/>
      <c r="J3" s="228" t="s">
        <v>86</v>
      </c>
      <c r="K3" s="248" t="s">
        <v>84</v>
      </c>
      <c r="L3" s="248"/>
      <c r="M3" s="248"/>
      <c r="N3" s="248"/>
      <c r="O3" s="249"/>
      <c r="P3" s="248"/>
      <c r="Q3" s="248"/>
      <c r="R3" s="248"/>
      <c r="S3" s="248"/>
      <c r="T3" s="248"/>
      <c r="U3" s="228"/>
      <c r="V3" s="228"/>
      <c r="W3" s="228"/>
      <c r="X3" s="228"/>
      <c r="Y3" s="228"/>
      <c r="Z3" s="228"/>
      <c r="AA3" s="228"/>
      <c r="AB3" s="228"/>
      <c r="AC3" s="228"/>
      <c r="AD3" s="228"/>
      <c r="AE3" s="228"/>
      <c r="AF3" s="228"/>
      <c r="AG3" s="228"/>
      <c r="AH3" s="228"/>
      <c r="AI3" s="228"/>
      <c r="AJ3" s="228"/>
      <c r="AK3" s="228"/>
      <c r="AL3" s="228"/>
      <c r="AM3" s="228"/>
      <c r="AN3" s="228"/>
      <c r="AO3" s="228"/>
      <c r="AP3" s="228"/>
      <c r="AQ3" s="228"/>
      <c r="AR3" s="228"/>
      <c r="AS3" s="228"/>
      <c r="AT3" s="228"/>
      <c r="AU3" s="228"/>
      <c r="AV3" s="228"/>
      <c r="AW3" s="228"/>
      <c r="AX3" s="228"/>
      <c r="AY3" s="228"/>
      <c r="AZ3" s="228"/>
      <c r="BA3" s="228"/>
      <c r="BB3" s="228"/>
      <c r="BC3" s="228"/>
      <c r="BD3" s="228"/>
      <c r="BE3" s="228"/>
      <c r="BF3" s="228"/>
      <c r="BG3" s="228"/>
      <c r="BH3" s="228"/>
      <c r="BI3" s="228"/>
      <c r="BJ3" s="228"/>
      <c r="BK3" s="228"/>
      <c r="BL3" s="228"/>
      <c r="BM3" s="228"/>
      <c r="BN3" s="228"/>
      <c r="BO3" s="228"/>
      <c r="BP3" s="228"/>
      <c r="BQ3" s="228"/>
      <c r="BR3" s="228"/>
      <c r="BS3" s="228"/>
      <c r="BT3" s="228"/>
      <c r="BU3" s="228"/>
      <c r="BV3" s="228"/>
      <c r="BW3" s="228"/>
      <c r="BX3" s="228"/>
      <c r="BY3" s="228"/>
      <c r="BZ3" s="228"/>
      <c r="CA3" s="228"/>
      <c r="CB3" s="228"/>
      <c r="CC3" s="228"/>
      <c r="CD3" s="228"/>
      <c r="CE3" s="228"/>
      <c r="CF3" s="228"/>
      <c r="CG3" s="228"/>
      <c r="CH3" s="228"/>
      <c r="CI3" s="228"/>
      <c r="CJ3" s="228"/>
      <c r="CK3" s="228"/>
      <c r="CL3" s="228"/>
      <c r="CM3" s="228"/>
      <c r="CN3" s="228"/>
      <c r="CO3" s="228"/>
      <c r="CP3" s="228"/>
      <c r="CQ3" s="228"/>
      <c r="CR3" s="228"/>
      <c r="CS3" s="228"/>
      <c r="CT3" s="228"/>
      <c r="CU3" s="228"/>
      <c r="CV3" s="228"/>
      <c r="CW3" s="228"/>
      <c r="CX3" s="228"/>
      <c r="CY3" s="228"/>
      <c r="CZ3" s="228"/>
      <c r="DA3" s="228"/>
      <c r="DB3" s="228"/>
      <c r="DC3" s="228"/>
      <c r="DD3" s="228"/>
      <c r="DE3" s="228"/>
      <c r="DF3" s="228"/>
      <c r="DG3" s="228"/>
      <c r="DH3" s="228"/>
      <c r="DI3" s="228"/>
      <c r="DJ3" s="228"/>
      <c r="DK3" s="228"/>
      <c r="DL3" s="228"/>
      <c r="DM3" s="228"/>
      <c r="DN3" s="228"/>
      <c r="DO3" s="228"/>
      <c r="DP3" s="228"/>
      <c r="DQ3" s="228"/>
      <c r="DR3" s="228"/>
      <c r="DS3" s="228"/>
      <c r="DT3" s="228"/>
      <c r="DU3" s="228"/>
      <c r="DV3" s="228"/>
      <c r="DW3" s="228"/>
      <c r="DX3" s="228"/>
      <c r="DY3" s="228"/>
      <c r="DZ3" s="228"/>
      <c r="EA3" s="228"/>
      <c r="EB3" s="228"/>
      <c r="EC3" s="228"/>
      <c r="ED3" s="228"/>
      <c r="EE3" s="228"/>
      <c r="EF3" s="228"/>
      <c r="EG3" s="228"/>
      <c r="EH3" s="228"/>
      <c r="EI3" s="228"/>
      <c r="EJ3" s="228"/>
      <c r="EK3" s="228"/>
      <c r="EL3" s="228"/>
      <c r="EM3" s="228"/>
      <c r="EN3" s="228"/>
      <c r="EO3" s="228"/>
      <c r="EP3" s="228"/>
      <c r="EQ3" s="228"/>
      <c r="ER3" s="228"/>
      <c r="ES3" s="228"/>
      <c r="ET3" s="228"/>
      <c r="EU3" s="228"/>
      <c r="EV3" s="228"/>
      <c r="EW3" s="228"/>
      <c r="EX3" s="228"/>
      <c r="EY3" s="228"/>
      <c r="EZ3" s="228"/>
      <c r="FA3" s="228"/>
      <c r="FB3" s="228"/>
      <c r="FC3" s="228"/>
      <c r="FD3" s="228"/>
      <c r="FE3" s="228"/>
      <c r="FF3" s="228"/>
      <c r="FG3" s="228"/>
      <c r="FH3" s="228"/>
      <c r="FI3" s="228"/>
      <c r="FJ3" s="228"/>
      <c r="FK3" s="228"/>
      <c r="FL3" s="228"/>
      <c r="FM3" s="228"/>
      <c r="FN3" s="228"/>
      <c r="FO3" s="228"/>
      <c r="FP3" s="228"/>
      <c r="FQ3" s="228"/>
      <c r="FR3" s="228"/>
      <c r="FS3" s="228"/>
      <c r="FT3" s="228"/>
      <c r="FU3" s="228"/>
      <c r="FV3" s="228"/>
      <c r="FW3" s="228"/>
      <c r="FX3" s="228"/>
      <c r="FY3" s="228"/>
      <c r="FZ3" s="228"/>
      <c r="GA3" s="228"/>
      <c r="GB3" s="228"/>
      <c r="GC3" s="228"/>
      <c r="GD3" s="228"/>
      <c r="GE3" s="228"/>
      <c r="GF3" s="228"/>
      <c r="GG3" s="228"/>
      <c r="GH3" s="228"/>
      <c r="GI3" s="228"/>
      <c r="GJ3" s="228"/>
      <c r="GK3" s="228"/>
      <c r="GL3" s="228"/>
      <c r="GM3" s="228"/>
      <c r="GN3" s="228"/>
      <c r="GO3" s="228"/>
      <c r="GP3" s="228"/>
      <c r="GQ3" s="228"/>
      <c r="GR3" s="228"/>
      <c r="GS3" s="228"/>
      <c r="GT3" s="228"/>
      <c r="GU3" s="228"/>
      <c r="GV3" s="228"/>
      <c r="GW3" s="228"/>
      <c r="GX3" s="228"/>
      <c r="GY3" s="228"/>
      <c r="GZ3" s="228"/>
      <c r="HA3" s="228"/>
      <c r="HB3" s="228"/>
      <c r="HC3" s="228"/>
      <c r="HD3" s="228"/>
      <c r="HE3" s="228"/>
      <c r="HF3" s="228"/>
      <c r="HG3" s="228"/>
      <c r="HH3" s="228"/>
      <c r="HI3" s="228"/>
      <c r="HJ3" s="228"/>
      <c r="HK3" s="228"/>
      <c r="HL3" s="228"/>
      <c r="HM3" s="228"/>
      <c r="HN3" s="228"/>
      <c r="HO3" s="228"/>
      <c r="HP3" s="228"/>
      <c r="HQ3" s="228"/>
      <c r="HR3" s="228"/>
      <c r="HS3" s="228"/>
      <c r="HT3" s="228"/>
      <c r="HU3" s="228"/>
      <c r="HV3" s="228"/>
      <c r="HW3" s="228"/>
      <c r="HX3" s="228"/>
      <c r="HY3" s="228"/>
      <c r="HZ3" s="228"/>
      <c r="IA3" s="228"/>
      <c r="IB3" s="228"/>
      <c r="IC3" s="228"/>
      <c r="ID3" s="228"/>
      <c r="IE3" s="228"/>
      <c r="IF3" s="228"/>
      <c r="IG3" s="228"/>
      <c r="IH3" s="228"/>
      <c r="II3" s="228"/>
      <c r="IJ3" s="228"/>
      <c r="IK3" s="228"/>
      <c r="IL3" s="228"/>
      <c r="IM3" s="228"/>
      <c r="IN3" s="228"/>
      <c r="IO3" s="228"/>
      <c r="IP3" s="228"/>
      <c r="IQ3" s="228"/>
      <c r="IR3" s="228"/>
      <c r="IS3" s="228"/>
      <c r="IT3" s="228"/>
      <c r="IU3" s="512">
        <v>4</v>
      </c>
    </row>
    <row s="1820" customFormat="1" customHeight="1" ht="14.699999999999998">
      <c r="A4" s="1156"/>
      <c r="B4" s="1161"/>
      <c r="C4" s="1156"/>
      <c r="D4" s="1496"/>
      <c r="E4" s="510"/>
      <c r="F4" s="1643"/>
      <c r="G4" s="510"/>
      <c r="H4" s="510"/>
      <c r="I4" s="510"/>
      <c r="J4" s="167"/>
      <c r="K4" s="248"/>
      <c r="L4" s="501"/>
      <c r="M4" s="501"/>
      <c r="N4" s="501"/>
      <c r="O4" s="227"/>
      <c r="P4" s="501"/>
      <c r="Q4" s="226"/>
      <c r="R4" s="226"/>
      <c r="S4" s="226"/>
      <c r="T4" s="226"/>
      <c r="IU4" s="508">
        <v>14</v>
      </c>
    </row>
    <row s="1820" customFormat="1" customHeight="1" ht="27.299999999999997">
      <c r="A5" s="1156"/>
      <c r="B5" s="1161"/>
      <c r="C5" s="1156"/>
      <c r="D5" s="1496"/>
      <c r="E5" s="2101" t="str">
        <f>"Форма "&amp;IF(TEMPLATE_SPHERE="HEAT","3","2")&amp;". Перечень "&amp;IF(TEMPLATE_SPHERE="HEAT","регулируемых организаций (единых теплоснабжающих организаций в ценовых зонах теплоснабжения, теплоснабжающих организаций в ценовых зонах теплоснабжения и теплосетевых организаций в ценовых зонах теплоснабжения)","организаций, в отношении которых "&amp;IF(TEMPLATE_SPHERE="TKO","осуществляется регулирование предельных тарифов, а также перечень операторов по обращению с твердыми коммунальными отходами, осуществляющих деятельность по транспортированию твердых коммунальных отходов","орган регулирования тарифов осуществляет регулирование тарифов в сфере водоснабжения и водоотведения"))</f>
        <v>Форма 3. Перечень регулируемых организаций (единых теплоснабжающих организаций в ценовых зонах теплоснабжения, теплоснабжающих организаций в ценовых зонах теплоснабжения и теплосетевых организаций в ценовых зонах теплоснабжения)</v>
      </c>
      <c r="F5" s="2101"/>
      <c r="G5" s="2101"/>
      <c r="H5" s="2101"/>
      <c r="I5" s="2101"/>
      <c r="J5" s="2101"/>
      <c r="K5" s="248"/>
      <c r="L5" s="501"/>
      <c r="M5" s="501"/>
      <c r="N5" s="501"/>
      <c r="O5" s="227"/>
      <c r="P5" s="501"/>
      <c r="Q5" s="226"/>
      <c r="R5" s="226"/>
      <c r="S5" s="226"/>
      <c r="T5" s="226"/>
      <c r="IU5" s="508">
        <v>26</v>
      </c>
    </row>
    <row s="1820" customFormat="1" customHeight="1" ht="14.699999999999998">
      <c r="A6" s="1156"/>
      <c r="B6" s="1161"/>
      <c r="C6" s="1156"/>
      <c r="D6" s="1496"/>
      <c r="E6" s="510"/>
      <c r="F6" s="168"/>
      <c r="G6" s="168"/>
      <c r="H6" s="168"/>
      <c r="I6" s="168"/>
      <c r="J6" s="169"/>
      <c r="K6" s="501"/>
      <c r="L6" s="501"/>
      <c r="M6" s="501"/>
      <c r="N6" s="501"/>
      <c r="O6" s="227"/>
      <c r="P6" s="501"/>
      <c r="Q6" s="226"/>
      <c r="R6" s="226"/>
      <c r="S6" s="226"/>
      <c r="T6" s="226"/>
      <c r="IU6" s="508">
        <v>14</v>
      </c>
    </row>
    <row s="1820" customFormat="1" customHeight="1" ht="14.699999999999998">
      <c r="A7" s="1156"/>
      <c r="B7" s="1161"/>
      <c r="C7" s="1156"/>
      <c r="D7" s="1496"/>
      <c r="E7" s="2102" t="s">
        <v>317</v>
      </c>
      <c r="F7" s="2103"/>
      <c r="G7" s="2103"/>
      <c r="H7" s="2103"/>
      <c r="I7" s="2103"/>
      <c r="J7" s="2475" t="s">
        <v>318</v>
      </c>
      <c r="K7" s="501"/>
      <c r="L7" s="501"/>
      <c r="M7" s="501"/>
      <c r="N7" s="501"/>
      <c r="O7" s="227"/>
      <c r="P7" s="501"/>
      <c r="Q7" s="226"/>
      <c r="R7" s="226"/>
      <c r="S7" s="226"/>
      <c r="T7" s="226"/>
      <c r="IU7" s="508">
        <v>14</v>
      </c>
    </row>
    <row s="1820" customFormat="1" customHeight="1" ht="21">
      <c r="A8" s="1156"/>
      <c r="B8" s="1161"/>
      <c r="C8" s="1156"/>
      <c r="D8" s="1496"/>
      <c r="E8" s="1549" t="s">
        <v>89</v>
      </c>
      <c r="F8" s="1541" t="s">
        <v>1886</v>
      </c>
      <c r="G8" s="1541" t="s">
        <v>49</v>
      </c>
      <c r="H8" s="1541" t="s">
        <v>51</v>
      </c>
      <c r="I8" s="1541" t="s">
        <v>1887</v>
      </c>
      <c r="J8" s="2476"/>
      <c r="K8" s="501"/>
      <c r="L8" s="501"/>
      <c r="M8" s="501"/>
      <c r="N8" s="501"/>
      <c r="O8" s="227"/>
      <c r="P8" s="501"/>
      <c r="Q8" s="226"/>
      <c r="R8" s="226"/>
      <c r="S8" s="226"/>
      <c r="T8" s="226"/>
      <c r="IU8" s="508">
        <v>20</v>
      </c>
    </row>
    <row s="1851" customFormat="1" customHeight="1" ht="23.25">
      <c r="A9" s="1632"/>
      <c r="B9" s="1161">
        <v>1</v>
      </c>
      <c r="C9" s="1161"/>
      <c r="D9" s="802"/>
      <c r="E9" s="1485">
        <v>1</v>
      </c>
      <c r="F9" s="1548"/>
      <c r="G9" s="1492"/>
      <c r="H9" s="1492"/>
      <c r="I9" s="1539"/>
      <c r="J9" s="2170" t="str">
        <f>IF(TEMPLATE_SPHERE="TKO","Региональным органом регулирования (органом местного самоуправления) раскрывается информация по указанной форме в отношении"&amp;" операторов по обращению с твердыми коммунальными отходами, осуществляющих деятельность по транспортированию твердых коммунальных отходов, "&amp;"сведения о которых содержатся в договорах на транспортирование твердых коммунальных отходов, заключенных региональным оператором с таким оператором,"&amp;" и о предложении об установлении единого тарифа на услугу регионального оператора.","")&amp;"
Значение в поле «Наименование организации» содержит наименование юридического лица согласно уставу организации.
Значение в поле «ИНН» содержит идентификационный номер налогоплательщика."&amp;"
Значение в поле «КПП» содержит код постановки на учёт.
Значение в поле «ОГРН (ОГРНИП)» содержит основной государственный регистрационный номер юридического лица (индивидуального предпринимателя)."</f>
        <v>
Значение в поле «Наименование организации» содержит наименование юридического лица согласно уставу организации.
Значение в поле «ИНН» содержит идентификационный номер налогоплательщика.
Значение в поле «КПП» содержит код постановки на учёт.
Значение в поле «ОГРН (ОГРНИП)» содержит основной государственный регистрационный номер юридического лица (индивидуального предпринимателя).</v>
      </c>
      <c r="K9" s="1536"/>
      <c r="L9" s="512"/>
      <c r="M9" s="512"/>
      <c r="N9" s="501" t="str">
        <f t="array" ref="N9:N9">IF(ISERROR(MATCH(MID(O9,1,250),MID(note_ter,1,250),0)),"n","y")</f>
        <v>n</v>
      </c>
      <c r="O9" s="512"/>
      <c r="P9" s="501" t="str">
        <f>G9&amp;"("&amp;J9&amp;")"</f>
        <v>(
Значение в поле «Наименование организации» содержит наименование юридического лица согласно уставу организации.
Значение в поле «ИНН» содержит идентификационный номер налогоплательщика.
Значение в поле «КПП» содержит код постановки на учёт.
Значение в поле «ОГРН (ОГРНИП)» содержит основной государственный регистрационный номер юридического лица (индивидуального предпринимателя).)</v>
      </c>
      <c r="Q9" s="1161"/>
      <c r="R9" s="1161"/>
      <c r="S9" s="421"/>
      <c r="T9" s="1161"/>
      <c r="U9" s="1161"/>
      <c r="V9" s="1161"/>
      <c r="W9" s="423"/>
      <c r="X9" s="423"/>
      <c r="Y9" s="420"/>
      <c r="Z9" s="420"/>
      <c r="AA9" s="420"/>
      <c r="AB9" s="420"/>
      <c r="AC9" s="420"/>
      <c r="AD9" s="420"/>
      <c r="AE9" s="420"/>
      <c r="AF9" s="420"/>
      <c r="AG9" s="420"/>
      <c r="AH9" s="420"/>
      <c r="AI9" s="420"/>
      <c r="AJ9" s="420"/>
      <c r="AK9" s="420"/>
      <c r="AL9" s="420"/>
      <c r="AM9" s="420"/>
      <c r="AN9" s="420"/>
      <c r="AO9" s="420"/>
      <c r="AP9" s="420"/>
      <c r="AQ9" s="420"/>
      <c r="AR9" s="420"/>
      <c r="AS9" s="420"/>
      <c r="AT9" s="420"/>
      <c r="AU9" s="420"/>
      <c r="AV9" s="420"/>
      <c r="AW9" s="420"/>
      <c r="AX9" s="420"/>
      <c r="AY9" s="420"/>
      <c r="AZ9" s="420"/>
      <c r="BA9" s="420"/>
      <c r="BB9" s="420"/>
      <c r="BC9" s="420"/>
      <c r="BD9" s="420"/>
      <c r="BE9" s="420"/>
      <c r="BF9" s="420"/>
      <c r="BG9" s="420"/>
      <c r="BH9" s="420"/>
      <c r="BI9" s="420"/>
      <c r="BJ9" s="420"/>
      <c r="BK9" s="420"/>
      <c r="BL9" s="420"/>
      <c r="BM9" s="420"/>
      <c r="BN9" s="420"/>
      <c r="BO9" s="420"/>
      <c r="BP9" s="420"/>
      <c r="BQ9" s="420"/>
      <c r="BR9" s="420"/>
      <c r="BS9" s="420"/>
      <c r="BT9" s="423"/>
      <c r="BU9" s="423"/>
      <c r="BV9" s="423"/>
      <c r="BW9" s="423"/>
      <c r="BX9" s="423"/>
      <c r="BY9" s="423"/>
      <c r="BZ9" s="423"/>
      <c r="CA9" s="423"/>
      <c r="CB9" s="423"/>
      <c r="CC9" s="423"/>
      <c r="IU9" s="424">
        <v>22</v>
      </c>
    </row>
    <row s="1851" customFormat="1" customHeight="1" ht="15.75">
      <c r="A10" s="1632"/>
      <c r="B10" s="1161"/>
      <c r="C10" s="413"/>
      <c r="D10" s="802"/>
      <c r="E10" s="1542"/>
      <c r="F10" s="1501" t="s">
        <v>1888</v>
      </c>
      <c r="G10" s="1543"/>
      <c r="H10" s="1543"/>
      <c r="I10" s="1900"/>
      <c r="J10" s="2172"/>
      <c r="K10" s="1537"/>
      <c r="L10" s="512"/>
      <c r="M10" s="512"/>
      <c r="N10" s="512"/>
      <c r="O10" s="501"/>
      <c r="P10" s="512"/>
      <c r="Q10" s="1161"/>
      <c r="R10" s="1161"/>
      <c r="S10" s="421"/>
      <c r="T10" s="1161"/>
      <c r="U10" s="1161"/>
      <c r="V10" s="1161"/>
      <c r="W10" s="423"/>
      <c r="X10" s="423"/>
      <c r="Y10" s="420"/>
      <c r="Z10" s="420"/>
      <c r="AA10" s="420"/>
      <c r="AB10" s="420"/>
      <c r="AC10" s="420"/>
      <c r="AD10" s="420"/>
      <c r="AE10" s="420"/>
      <c r="AF10" s="420"/>
      <c r="AG10" s="420"/>
      <c r="AH10" s="420"/>
      <c r="AI10" s="420"/>
      <c r="AJ10" s="420"/>
      <c r="AK10" s="420"/>
      <c r="AL10" s="420"/>
      <c r="AM10" s="420"/>
      <c r="AN10" s="420"/>
      <c r="AO10" s="420"/>
      <c r="AP10" s="420"/>
      <c r="AQ10" s="420"/>
      <c r="AR10" s="420"/>
      <c r="AS10" s="420"/>
      <c r="AT10" s="420"/>
      <c r="AU10" s="420"/>
      <c r="AV10" s="420"/>
      <c r="AW10" s="420"/>
      <c r="AX10" s="420"/>
      <c r="AY10" s="420"/>
      <c r="AZ10" s="420"/>
      <c r="BA10" s="420"/>
      <c r="BB10" s="420"/>
      <c r="BC10" s="420"/>
      <c r="BD10" s="420"/>
      <c r="BE10" s="420"/>
      <c r="BF10" s="420"/>
      <c r="BG10" s="420"/>
      <c r="BH10" s="420"/>
      <c r="BI10" s="420"/>
      <c r="BJ10" s="420"/>
      <c r="BK10" s="420"/>
      <c r="BL10" s="420"/>
      <c r="BM10" s="420"/>
      <c r="BN10" s="420"/>
      <c r="BO10" s="420"/>
      <c r="BP10" s="420"/>
      <c r="BQ10" s="420"/>
      <c r="BR10" s="420"/>
      <c r="BS10" s="420"/>
      <c r="BT10" s="423"/>
      <c r="BU10" s="423"/>
      <c r="BV10" s="423"/>
      <c r="BW10" s="423"/>
      <c r="BX10" s="423"/>
      <c r="BY10" s="423"/>
      <c r="BZ10" s="423"/>
      <c r="CA10" s="423"/>
      <c r="CB10" s="423"/>
      <c r="CC10" s="423"/>
      <c r="IU10" s="424">
        <v>15</v>
      </c>
    </row>
    <row s="1820" customFormat="1" customHeight="1" ht="22.049999999999997">
      <c r="A11" s="1156"/>
      <c r="B11" s="1161"/>
      <c r="C11" s="1156"/>
      <c r="D11" s="452"/>
      <c r="E11" s="181"/>
      <c r="F11" s="181"/>
      <c r="G11" s="181"/>
      <c r="H11" s="181"/>
      <c r="I11" s="181"/>
      <c r="J11" s="181"/>
      <c r="K11" s="501"/>
      <c r="L11" s="501"/>
      <c r="M11" s="501"/>
      <c r="N11" s="501"/>
      <c r="O11" s="227"/>
      <c r="P11" s="501"/>
      <c r="Q11" s="226"/>
      <c r="R11" s="226"/>
      <c r="S11" s="226"/>
      <c r="T11" s="226"/>
      <c r="IU11" s="508">
        <v>21</v>
      </c>
    </row>
    <row s="1820" customFormat="1" customHeight="1" ht="14.699999999999998">
      <c r="A12" s="1156"/>
      <c r="B12" s="1161"/>
      <c r="C12" s="1156"/>
      <c r="D12" s="452"/>
      <c r="E12" s="1156"/>
      <c r="F12" s="1156"/>
      <c r="G12" s="1156"/>
      <c r="H12" s="1156"/>
      <c r="I12" s="1156"/>
      <c r="J12" s="1156"/>
      <c r="K12" s="501"/>
      <c r="L12" s="501"/>
      <c r="M12" s="501"/>
      <c r="N12" s="501"/>
      <c r="O12" s="227"/>
      <c r="P12" s="501"/>
      <c r="Q12" s="226"/>
      <c r="R12" s="226"/>
      <c r="S12" s="226"/>
      <c r="T12" s="226"/>
      <c r="IU12" s="508">
        <v>14</v>
      </c>
    </row>
    <row s="1820" customFormat="1" customHeight="1" ht="1.05">
      <c r="A13" s="1156"/>
      <c r="B13" s="1161"/>
      <c r="C13" s="1156"/>
      <c r="D13" s="452"/>
      <c r="E13" s="1156"/>
      <c r="F13" s="1156"/>
      <c r="G13" s="1156"/>
      <c r="H13" s="1156"/>
      <c r="I13" s="1156"/>
      <c r="J13" s="1156"/>
      <c r="K13" s="501"/>
      <c r="L13" s="501"/>
      <c r="M13" s="501"/>
      <c r="N13" s="501"/>
      <c r="O13" s="227"/>
      <c r="P13" s="501"/>
      <c r="Q13" s="226"/>
      <c r="R13" s="226"/>
      <c r="S13" s="226"/>
      <c r="T13" s="226"/>
      <c r="IU13" s="508">
        <v>1</v>
      </c>
    </row>
    <row s="1065" customFormat="1" customHeight="1" ht="10.5">
      <c r="B14" s="835"/>
      <c r="D14" s="183"/>
      <c r="K14" s="501"/>
      <c r="L14" s="501"/>
      <c r="M14" s="501"/>
      <c r="N14" s="501"/>
      <c r="O14" s="227"/>
      <c r="P14" s="501"/>
      <c r="Q14" s="226"/>
      <c r="R14" s="226"/>
      <c r="S14" s="226"/>
      <c r="T14" s="226"/>
      <c r="IU14" s="182">
        <v>10</v>
      </c>
    </row>
    <row s="1065" customFormat="1" customHeight="1" ht="10.5">
      <c r="B15" s="835"/>
      <c r="D15" s="183"/>
      <c r="K15" s="501"/>
      <c r="L15" s="501"/>
      <c r="M15" s="501"/>
      <c r="N15" s="501"/>
      <c r="O15" s="227"/>
      <c r="P15" s="501"/>
      <c r="Q15" s="226"/>
      <c r="R15" s="226"/>
      <c r="S15" s="226"/>
      <c r="T15" s="226"/>
      <c r="IU15" s="182">
        <v>10</v>
      </c>
    </row>
    <row customHeight="1" ht="14.699999999999998">
      <c r="IU16" s="1156">
        <v>14</v>
      </c>
    </row>
    <row customHeight="1" ht="14.699999999999998">
      <c r="IU17" s="1156">
        <v>14</v>
      </c>
    </row>
    <row customHeight="1" ht="14.699999999999998">
      <c r="IU18" s="1156">
        <v>14</v>
      </c>
    </row>
    <row customHeight="1" ht="14.699999999999998">
      <c r="G19" s="374"/>
      <c r="H19" s="374"/>
      <c r="I19" s="374"/>
      <c r="IU19" s="1156">
        <v>14</v>
      </c>
    </row>
    <row customHeight="1" ht="14.699999999999998">
      <c r="IU20" s="1156">
        <v>14</v>
      </c>
    </row>
    <row customHeight="1" ht="14.699999999999998">
      <c r="IU21" s="1156">
        <v>14</v>
      </c>
    </row>
    <row customHeight="1" ht="14.699999999999998">
      <c r="IU22" s="1156">
        <v>14</v>
      </c>
    </row>
    <row customHeight="1" ht="14.699999999999998">
      <c r="K23" s="1156"/>
      <c r="L23" s="1156"/>
      <c r="M23" s="1156"/>
      <c r="IU23" s="1156">
        <v>14</v>
      </c>
    </row>
    <row customHeight="1" ht="22.5" hidden="1">
      <c r="A24" s="1156" t="s">
        <v>83</v>
      </c>
      <c r="B24" s="1161">
        <v>0</v>
      </c>
      <c r="C24" s="1156">
        <v>0</v>
      </c>
      <c r="D24" s="452">
        <v>3</v>
      </c>
      <c r="E24" s="1156">
        <v>6</v>
      </c>
      <c r="F24" s="1156">
        <v>46</v>
      </c>
      <c r="G24" s="1156">
        <v>16</v>
      </c>
      <c r="H24" s="1156">
        <v>16</v>
      </c>
      <c r="I24" s="1156">
        <v>35</v>
      </c>
      <c r="J24" s="1156">
        <v>89</v>
      </c>
      <c r="K24" s="501">
        <v>3</v>
      </c>
      <c r="L24" s="501">
        <v>8</v>
      </c>
      <c r="M24" s="501">
        <v>8</v>
      </c>
      <c r="N24" s="501">
        <v>8</v>
      </c>
      <c r="O24" s="227">
        <v>25</v>
      </c>
      <c r="P24" s="501">
        <v>14</v>
      </c>
      <c r="Q24" s="226">
        <v>8</v>
      </c>
      <c r="R24" s="226">
        <v>8</v>
      </c>
      <c r="S24" s="226">
        <v>8</v>
      </c>
      <c r="T24" s="226">
        <v>8</v>
      </c>
      <c r="U24" s="1156">
        <v>8</v>
      </c>
      <c r="V24" s="1156">
        <v>8</v>
      </c>
      <c r="W24" s="1156">
        <v>8</v>
      </c>
      <c r="X24" s="1156">
        <v>8</v>
      </c>
      <c r="Y24" s="1156">
        <v>8</v>
      </c>
      <c r="Z24" s="1156">
        <v>8</v>
      </c>
      <c r="AA24" s="1156">
        <v>8</v>
      </c>
      <c r="AB24" s="1156">
        <v>8</v>
      </c>
      <c r="AC24" s="1156">
        <v>8</v>
      </c>
      <c r="AD24" s="1156">
        <v>8</v>
      </c>
      <c r="AE24" s="1156">
        <v>8</v>
      </c>
      <c r="AF24" s="1156">
        <v>8</v>
      </c>
      <c r="AG24" s="1156">
        <v>8</v>
      </c>
      <c r="AH24" s="1156">
        <v>8</v>
      </c>
      <c r="AI24" s="1156">
        <v>8</v>
      </c>
      <c r="AJ24" s="1156">
        <v>8</v>
      </c>
      <c r="AK24" s="1156">
        <v>8</v>
      </c>
      <c r="AL24" s="1156">
        <v>8</v>
      </c>
      <c r="AM24" s="1156">
        <v>8</v>
      </c>
      <c r="AN24" s="1156">
        <v>8</v>
      </c>
      <c r="AO24" s="1156">
        <v>8</v>
      </c>
      <c r="AP24" s="1156">
        <v>8</v>
      </c>
      <c r="AQ24" s="1156">
        <v>8</v>
      </c>
      <c r="AR24" s="1156">
        <v>8</v>
      </c>
      <c r="AS24" s="1156">
        <v>8</v>
      </c>
      <c r="AT24" s="1156">
        <v>8</v>
      </c>
      <c r="AU24" s="1156">
        <v>8</v>
      </c>
      <c r="AV24" s="1156">
        <v>8</v>
      </c>
      <c r="AW24" s="1156">
        <v>8</v>
      </c>
      <c r="AX24" s="1156">
        <v>8</v>
      </c>
      <c r="AY24" s="1156">
        <v>8</v>
      </c>
      <c r="AZ24" s="1156">
        <v>8</v>
      </c>
      <c r="BA24" s="1156">
        <v>8</v>
      </c>
      <c r="BB24" s="1156">
        <v>8</v>
      </c>
      <c r="BC24" s="1156">
        <v>8</v>
      </c>
      <c r="BD24" s="1156">
        <v>8</v>
      </c>
      <c r="BE24" s="1156">
        <v>8</v>
      </c>
      <c r="BF24" s="1156">
        <v>8</v>
      </c>
      <c r="BG24" s="1156">
        <v>8</v>
      </c>
      <c r="BH24" s="1156">
        <v>8</v>
      </c>
      <c r="BI24" s="1156">
        <v>8</v>
      </c>
      <c r="BJ24" s="1156">
        <v>8</v>
      </c>
      <c r="BK24" s="1156">
        <v>8</v>
      </c>
      <c r="BL24" s="1156">
        <v>8</v>
      </c>
      <c r="BM24" s="1156">
        <v>8</v>
      </c>
      <c r="BN24" s="1156">
        <v>8</v>
      </c>
      <c r="BO24" s="1156">
        <v>8</v>
      </c>
      <c r="BP24" s="1156">
        <v>8</v>
      </c>
      <c r="BQ24" s="1156">
        <v>8</v>
      </c>
      <c r="BR24" s="1156">
        <v>8</v>
      </c>
      <c r="BS24" s="1156">
        <v>8</v>
      </c>
      <c r="BT24" s="1156">
        <v>8</v>
      </c>
      <c r="BU24" s="1156">
        <v>8</v>
      </c>
      <c r="BV24" s="1156">
        <v>8</v>
      </c>
      <c r="BW24" s="1156">
        <v>8</v>
      </c>
      <c r="BX24" s="1156">
        <v>8</v>
      </c>
      <c r="BY24" s="1156">
        <v>8</v>
      </c>
      <c r="BZ24" s="1156">
        <v>8</v>
      </c>
      <c r="CA24" s="1156">
        <v>8</v>
      </c>
      <c r="CB24" s="1156">
        <v>8</v>
      </c>
      <c r="CC24" s="1156">
        <v>8</v>
      </c>
      <c r="CD24" s="1156">
        <v>8</v>
      </c>
      <c r="CE24" s="1156">
        <v>8</v>
      </c>
      <c r="CF24" s="1156">
        <v>8</v>
      </c>
      <c r="CG24" s="1156">
        <v>8</v>
      </c>
      <c r="CH24" s="1156">
        <v>8</v>
      </c>
      <c r="CI24" s="1156">
        <v>8</v>
      </c>
      <c r="CJ24" s="1156">
        <v>8</v>
      </c>
      <c r="CK24" s="1156">
        <v>8</v>
      </c>
      <c r="CL24" s="1156">
        <v>8</v>
      </c>
      <c r="CM24" s="1156">
        <v>8</v>
      </c>
      <c r="CN24" s="1156">
        <v>8</v>
      </c>
      <c r="CO24" s="1156">
        <v>8</v>
      </c>
      <c r="CP24" s="1156">
        <v>8</v>
      </c>
      <c r="CQ24" s="1156">
        <v>8</v>
      </c>
      <c r="CR24" s="1156">
        <v>8</v>
      </c>
      <c r="CS24" s="1156">
        <v>8</v>
      </c>
      <c r="CT24" s="1156">
        <v>8</v>
      </c>
      <c r="CU24" s="1156">
        <v>8</v>
      </c>
      <c r="CV24" s="1156">
        <v>8</v>
      </c>
      <c r="CW24" s="1156">
        <v>8</v>
      </c>
      <c r="CX24" s="1156">
        <v>8</v>
      </c>
      <c r="CY24" s="1156">
        <v>8</v>
      </c>
      <c r="CZ24" s="1156">
        <v>8</v>
      </c>
      <c r="DA24" s="1156">
        <v>8</v>
      </c>
      <c r="DB24" s="1156">
        <v>8</v>
      </c>
      <c r="DC24" s="1156">
        <v>8</v>
      </c>
      <c r="DD24" s="1156">
        <v>8</v>
      </c>
      <c r="DE24" s="1156">
        <v>8</v>
      </c>
      <c r="DF24" s="1156">
        <v>8</v>
      </c>
      <c r="DG24" s="1156">
        <v>8</v>
      </c>
      <c r="DH24" s="1156">
        <v>8</v>
      </c>
      <c r="DI24" s="1156">
        <v>8</v>
      </c>
      <c r="DJ24" s="1156">
        <v>8</v>
      </c>
      <c r="DK24" s="1156">
        <v>8</v>
      </c>
      <c r="DL24" s="1156">
        <v>8</v>
      </c>
      <c r="DM24" s="1156">
        <v>8</v>
      </c>
      <c r="DN24" s="1156">
        <v>8</v>
      </c>
      <c r="DO24" s="1156">
        <v>8</v>
      </c>
      <c r="DP24" s="1156">
        <v>8</v>
      </c>
      <c r="DQ24" s="1156">
        <v>8</v>
      </c>
      <c r="DR24" s="1156">
        <v>8</v>
      </c>
      <c r="DS24" s="1156">
        <v>8</v>
      </c>
      <c r="DT24" s="1156">
        <v>8</v>
      </c>
      <c r="DU24" s="1156">
        <v>8</v>
      </c>
      <c r="DV24" s="1156">
        <v>8</v>
      </c>
      <c r="DW24" s="1156">
        <v>8</v>
      </c>
      <c r="DX24" s="1156">
        <v>8</v>
      </c>
      <c r="DY24" s="1156">
        <v>8</v>
      </c>
      <c r="DZ24" s="1156">
        <v>8</v>
      </c>
      <c r="EA24" s="1156">
        <v>8</v>
      </c>
      <c r="EB24" s="1156">
        <v>8</v>
      </c>
      <c r="EC24" s="1156">
        <v>8</v>
      </c>
      <c r="ED24" s="1156">
        <v>8</v>
      </c>
      <c r="EE24" s="1156">
        <v>8</v>
      </c>
      <c r="EF24" s="1156">
        <v>8</v>
      </c>
      <c r="EG24" s="1156">
        <v>8</v>
      </c>
      <c r="EH24" s="1156">
        <v>8</v>
      </c>
      <c r="EI24" s="1156">
        <v>8</v>
      </c>
      <c r="EJ24" s="1156">
        <v>8</v>
      </c>
      <c r="EK24" s="1156">
        <v>8</v>
      </c>
      <c r="EL24" s="1156">
        <v>8</v>
      </c>
      <c r="EM24" s="1156">
        <v>8</v>
      </c>
      <c r="EN24" s="1156">
        <v>8</v>
      </c>
      <c r="EO24" s="1156">
        <v>8</v>
      </c>
      <c r="EP24" s="1156">
        <v>8</v>
      </c>
      <c r="EQ24" s="1156">
        <v>8</v>
      </c>
      <c r="ER24" s="1156">
        <v>8</v>
      </c>
      <c r="ES24" s="1156">
        <v>8</v>
      </c>
      <c r="ET24" s="1156">
        <v>8</v>
      </c>
      <c r="EU24" s="1156">
        <v>8</v>
      </c>
      <c r="EV24" s="1156">
        <v>8</v>
      </c>
      <c r="EW24" s="1156">
        <v>8</v>
      </c>
      <c r="EX24" s="1156">
        <v>8</v>
      </c>
      <c r="EY24" s="1156">
        <v>8</v>
      </c>
      <c r="EZ24" s="1156">
        <v>8</v>
      </c>
      <c r="FA24" s="1156">
        <v>8</v>
      </c>
      <c r="FB24" s="1156">
        <v>8</v>
      </c>
      <c r="FC24" s="1156">
        <v>8</v>
      </c>
      <c r="FD24" s="1156">
        <v>8</v>
      </c>
      <c r="FE24" s="1156">
        <v>8</v>
      </c>
      <c r="FF24" s="1156">
        <v>8</v>
      </c>
      <c r="FG24" s="1156">
        <v>8</v>
      </c>
      <c r="FH24" s="1156">
        <v>8</v>
      </c>
      <c r="FI24" s="1156">
        <v>8</v>
      </c>
      <c r="FJ24" s="1156">
        <v>8</v>
      </c>
      <c r="FK24" s="1156">
        <v>8</v>
      </c>
      <c r="FL24" s="1156">
        <v>8</v>
      </c>
      <c r="FM24" s="1156">
        <v>8</v>
      </c>
      <c r="FN24" s="1156">
        <v>8</v>
      </c>
      <c r="FO24" s="1156">
        <v>8</v>
      </c>
      <c r="FP24" s="1156">
        <v>8</v>
      </c>
      <c r="FQ24" s="1156">
        <v>8</v>
      </c>
      <c r="FR24" s="1156">
        <v>8</v>
      </c>
      <c r="FS24" s="1156">
        <v>8</v>
      </c>
      <c r="FT24" s="1156">
        <v>8</v>
      </c>
      <c r="FU24" s="1156">
        <v>8</v>
      </c>
      <c r="FV24" s="1156">
        <v>8</v>
      </c>
      <c r="FW24" s="1156">
        <v>8</v>
      </c>
      <c r="FX24" s="1156">
        <v>8</v>
      </c>
      <c r="FY24" s="1156">
        <v>8</v>
      </c>
      <c r="FZ24" s="1156">
        <v>8</v>
      </c>
      <c r="GA24" s="1156">
        <v>8</v>
      </c>
      <c r="GB24" s="1156">
        <v>8</v>
      </c>
      <c r="GC24" s="1156">
        <v>8</v>
      </c>
      <c r="GD24" s="1156">
        <v>8</v>
      </c>
      <c r="GE24" s="1156">
        <v>8</v>
      </c>
      <c r="GF24" s="1156">
        <v>8</v>
      </c>
      <c r="GG24" s="1156">
        <v>8</v>
      </c>
      <c r="GH24" s="1156">
        <v>8</v>
      </c>
      <c r="GI24" s="1156">
        <v>8</v>
      </c>
      <c r="GJ24" s="1156">
        <v>8</v>
      </c>
      <c r="GK24" s="1156">
        <v>8</v>
      </c>
      <c r="GL24" s="1156">
        <v>8</v>
      </c>
      <c r="GM24" s="1156">
        <v>8</v>
      </c>
      <c r="GN24" s="1156">
        <v>8</v>
      </c>
      <c r="GO24" s="1156">
        <v>8</v>
      </c>
      <c r="GP24" s="1156">
        <v>8</v>
      </c>
      <c r="GQ24" s="1156">
        <v>8</v>
      </c>
      <c r="GR24" s="1156">
        <v>8</v>
      </c>
      <c r="GS24" s="1156">
        <v>8</v>
      </c>
      <c r="GT24" s="1156">
        <v>8</v>
      </c>
      <c r="GU24" s="1156">
        <v>8</v>
      </c>
      <c r="GV24" s="1156">
        <v>8</v>
      </c>
      <c r="GW24" s="1156">
        <v>8</v>
      </c>
      <c r="GX24" s="1156">
        <v>8</v>
      </c>
      <c r="GY24" s="1156">
        <v>8</v>
      </c>
      <c r="GZ24" s="1156">
        <v>8</v>
      </c>
      <c r="HA24" s="1156">
        <v>8</v>
      </c>
      <c r="HB24" s="1156">
        <v>8</v>
      </c>
      <c r="HC24" s="1156">
        <v>8</v>
      </c>
      <c r="HD24" s="1156">
        <v>8</v>
      </c>
      <c r="HE24" s="1156">
        <v>8</v>
      </c>
      <c r="HF24" s="1156">
        <v>8</v>
      </c>
      <c r="HG24" s="1156">
        <v>8</v>
      </c>
      <c r="HH24" s="1156">
        <v>8</v>
      </c>
      <c r="HI24" s="1156">
        <v>8</v>
      </c>
      <c r="HJ24" s="1156">
        <v>8</v>
      </c>
      <c r="HK24" s="1156">
        <v>8</v>
      </c>
      <c r="HL24" s="1156">
        <v>8</v>
      </c>
      <c r="HM24" s="1156">
        <v>8</v>
      </c>
      <c r="HN24" s="1156">
        <v>8</v>
      </c>
      <c r="HO24" s="1156">
        <v>8</v>
      </c>
      <c r="HP24" s="1156">
        <v>8</v>
      </c>
      <c r="HQ24" s="1156">
        <v>8</v>
      </c>
      <c r="HR24" s="1156">
        <v>8</v>
      </c>
      <c r="HS24" s="1156">
        <v>8</v>
      </c>
      <c r="HT24" s="1156">
        <v>8</v>
      </c>
      <c r="HU24" s="1156">
        <v>8</v>
      </c>
      <c r="HV24" s="1156">
        <v>8</v>
      </c>
      <c r="HW24" s="1156">
        <v>8</v>
      </c>
      <c r="HX24" s="1156">
        <v>8</v>
      </c>
      <c r="HY24" s="1156">
        <v>8</v>
      </c>
      <c r="HZ24" s="1156">
        <v>8</v>
      </c>
      <c r="IA24" s="1156">
        <v>8</v>
      </c>
      <c r="IB24" s="1156">
        <v>8</v>
      </c>
      <c r="IC24" s="1156">
        <v>8</v>
      </c>
      <c r="ID24" s="1156">
        <v>8</v>
      </c>
      <c r="IE24" s="1156">
        <v>8</v>
      </c>
      <c r="IF24" s="1156">
        <v>8</v>
      </c>
      <c r="IG24" s="1156">
        <v>8</v>
      </c>
      <c r="IH24" s="1156">
        <v>8</v>
      </c>
      <c r="II24" s="1156">
        <v>8</v>
      </c>
      <c r="IJ24" s="1156">
        <v>8</v>
      </c>
      <c r="IK24" s="1156">
        <v>8</v>
      </c>
      <c r="IL24" s="1156">
        <v>8</v>
      </c>
      <c r="IM24" s="1156">
        <v>8</v>
      </c>
      <c r="IN24" s="1156">
        <v>8</v>
      </c>
      <c r="IO24" s="1156">
        <v>8</v>
      </c>
      <c r="IP24" s="1156">
        <v>8</v>
      </c>
      <c r="IQ24" s="1156">
        <v>8</v>
      </c>
      <c r="IR24" s="1156">
        <v>8</v>
      </c>
      <c r="IS24" s="1156">
        <v>8</v>
      </c>
      <c r="IT24" s="1156">
        <v>8</v>
      </c>
      <c r="IU24" s="1156">
        <v>23</v>
      </c>
    </row>
  </sheetData>
  <sheetProtection formatColumns="0" formatRows="0" autoFilter="0" sort="0" insertRows="0" insertColumns="1" deleteRows="0" deleteColumns="0"/>
  <mergeCells count="4">
    <mergeCell ref="E5:J5"/>
    <mergeCell ref="E7:I7"/>
    <mergeCell ref="J7:J8"/>
    <mergeCell ref="J9:J10"/>
  </mergeCells>
  <dataValidations count="2">
    <dataValidation type="textLength" allowBlank="1" showInputMessage="1" showErrorMessage="1" prompt="ОГРН состоит из 13 цифр, ОГРНИП - из 15" sqref="I9 I2">
      <formula1>13</formula1>
      <formula2>15</formula2>
    </dataValidation>
    <dataValidation type="textLength" allowBlank="1" showInputMessage="1" showErrorMessage="1" sqref="I3">
      <formula1>13</formula1>
      <formula2>15</formula2>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5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9DE9A178-A4AC-1992-D91A-4035446215D8}" mc:Ignorable="x14ac xr xr2 xr3">
  <dimension ref="A1:IW15"/>
  <sheetViews>
    <sheetView showGridLines="0" zoomScale="90" workbookViewId="0">
      <pane xSplit="6" ySplit="9" topLeftCell="G10" activePane="bottomRight" state="frozen"/>
      <selection pane="bottomLeft" activeCell="A10" sqref="A10"/>
      <selection pane="topRight" activeCell="G1" sqref="G1"/>
      <selection pane="bottomRight" activeCell="A1" sqref="A1"/>
    </sheetView>
  </sheetViews>
  <sheetFormatPr defaultColWidth="9.140625" customHeight="1" defaultRowHeight="14.25"/>
  <cols>
    <col min="1" max="1" style="1636" width="9.140625" hidden="1"/>
    <col min="2" max="2" style="1367" width="9.140625" hidden="1"/>
    <col min="3" max="3" style="1636" width="3.7109375" hidden="1" customWidth="1"/>
    <col min="4" max="4" style="1843" width="3.00390625" customWidth="1"/>
    <col min="5" max="5" style="1636" width="6.00390625" customWidth="1"/>
    <col min="6" max="6" style="1636" width="27.00390625" customWidth="1"/>
    <col min="7" max="7" style="1636" width="16.00390625" customWidth="1"/>
    <col min="8" max="8" style="1636" width="12.00390625" customWidth="1"/>
    <col min="9" max="9" style="1636" width="32.00390625" customWidth="1"/>
    <col min="10" max="11" style="1636" width="41.00390625" customWidth="1"/>
    <col min="12" max="12" style="1636" width="89.00390625" customWidth="1"/>
    <col min="13" max="13" style="1625" width="3.00390625" customWidth="1"/>
    <col min="14" max="16" style="1625" width="8.00390625" customWidth="1"/>
    <col min="17" max="17" style="1625" width="25.00390625" customWidth="1"/>
    <col min="18" max="18" style="1625" width="14.00390625" customWidth="1"/>
    <col min="19" max="22" style="226" width="8.00390625" customWidth="1"/>
    <col min="23" max="256" style="1636" width="8.00390625" customWidth="1"/>
    <col min="257" max="257" style="1636" width="9.140625" hidden="1"/>
  </cols>
  <sheetData>
    <row customHeight="1" ht="22.5" hidden="1">
      <c r="IW1" s="1156" t="s">
        <v>14</v>
      </c>
    </row>
    <row s="1851" customFormat="1" customHeight="1" ht="22.5" hidden="1">
      <c r="A2" s="832"/>
      <c r="B2" s="1161">
        <v>1</v>
      </c>
      <c r="C2" s="1161"/>
      <c r="D2" s="1929" t="s">
        <v>104</v>
      </c>
      <c r="E2" s="1890"/>
      <c r="F2" s="1893" t="str">
        <f>IF(ROIV_INFO_NAME="","",ROIV_INFO_NAME)</f>
        <v>ПАО "КГК"</v>
      </c>
      <c r="G2" s="1918" t="s">
        <v>28</v>
      </c>
      <c r="H2" s="1917"/>
      <c r="I2" s="1539"/>
      <c r="J2" s="819"/>
      <c r="K2" s="819"/>
      <c r="L2" s="229"/>
      <c r="M2" s="1536">
        <f>MERGEVALUE(F2)</f>
      </c>
      <c r="N2" s="512"/>
      <c r="O2" s="512"/>
      <c r="P2" s="501" t="str">
        <f t="array" ref="P2:P2">IF(ISERROR(MATCH(MID(Q2,1,250),MID(note_ter,1,250),0)),"n","y")</f>
        <v>n</v>
      </c>
      <c r="Q2" s="512"/>
      <c r="R2" s="501" t="str">
        <f>G2&amp;"("&amp;L2&amp;")"</f>
        <v>()</v>
      </c>
      <c r="S2" s="1161"/>
      <c r="T2" s="1161"/>
      <c r="U2" s="421"/>
      <c r="V2" s="1161"/>
      <c r="W2" s="1161"/>
      <c r="X2" s="1161"/>
      <c r="Y2" s="423"/>
      <c r="Z2" s="423"/>
      <c r="AA2" s="420"/>
      <c r="AB2" s="420"/>
      <c r="AC2" s="420"/>
      <c r="AD2" s="420"/>
      <c r="AE2" s="420"/>
      <c r="AF2" s="420"/>
      <c r="AG2" s="420"/>
      <c r="AH2" s="420"/>
      <c r="AI2" s="420"/>
      <c r="AJ2" s="420"/>
      <c r="AK2" s="420"/>
      <c r="AL2" s="420"/>
      <c r="AM2" s="420"/>
      <c r="AN2" s="420"/>
      <c r="AO2" s="420"/>
      <c r="AP2" s="420"/>
      <c r="AQ2" s="420"/>
      <c r="AR2" s="420"/>
      <c r="AS2" s="420"/>
      <c r="AT2" s="420"/>
      <c r="AU2" s="420"/>
      <c r="AV2" s="420"/>
      <c r="AW2" s="420"/>
      <c r="AX2" s="420"/>
      <c r="AY2" s="420"/>
      <c r="AZ2" s="420"/>
      <c r="BA2" s="420"/>
      <c r="BB2" s="420"/>
      <c r="BC2" s="420"/>
      <c r="BD2" s="420"/>
      <c r="BE2" s="420"/>
      <c r="BF2" s="420"/>
      <c r="BG2" s="420"/>
      <c r="BH2" s="420"/>
      <c r="BI2" s="420"/>
      <c r="BJ2" s="420"/>
      <c r="BK2" s="420"/>
      <c r="BL2" s="420"/>
      <c r="BM2" s="420"/>
      <c r="BN2" s="420"/>
      <c r="BO2" s="420"/>
      <c r="BP2" s="420"/>
      <c r="BQ2" s="420"/>
      <c r="BR2" s="420"/>
      <c r="BS2" s="420"/>
      <c r="BT2" s="420"/>
      <c r="BU2" s="420"/>
      <c r="BV2" s="423"/>
      <c r="BW2" s="423"/>
      <c r="BX2" s="423"/>
      <c r="BY2" s="423"/>
      <c r="BZ2" s="423"/>
      <c r="CA2" s="423"/>
      <c r="CB2" s="423"/>
      <c r="CC2" s="423"/>
      <c r="CD2" s="423"/>
      <c r="CE2" s="423"/>
      <c r="IW2" s="424">
        <v>0</v>
      </c>
    </row>
    <row s="1643" customFormat="1" customHeight="1" ht="5.25" hidden="1">
      <c r="A3" s="497"/>
      <c r="D3" s="495"/>
      <c r="F3" s="248" t="s">
        <v>84</v>
      </c>
      <c r="G3" s="1736" t="s">
        <v>85</v>
      </c>
      <c r="H3" s="495"/>
      <c r="I3" s="495"/>
      <c r="J3" s="495"/>
      <c r="K3" s="495"/>
      <c r="L3" s="228" t="s">
        <v>86</v>
      </c>
      <c r="M3" s="248" t="s">
        <v>84</v>
      </c>
      <c r="N3" s="248"/>
      <c r="O3" s="248"/>
      <c r="P3" s="248"/>
      <c r="Q3" s="249"/>
      <c r="R3" s="248"/>
      <c r="S3" s="248"/>
      <c r="T3" s="248"/>
      <c r="U3" s="248"/>
      <c r="V3" s="248"/>
      <c r="W3" s="228"/>
      <c r="X3" s="228"/>
      <c r="Y3" s="228"/>
      <c r="Z3" s="228"/>
      <c r="AA3" s="228"/>
      <c r="AB3" s="228"/>
      <c r="AC3" s="228"/>
      <c r="AD3" s="228"/>
      <c r="AE3" s="228"/>
      <c r="AF3" s="228"/>
      <c r="AG3" s="228"/>
      <c r="AH3" s="228"/>
      <c r="AI3" s="228"/>
      <c r="AJ3" s="228"/>
      <c r="AK3" s="228"/>
      <c r="AL3" s="228"/>
      <c r="AM3" s="228"/>
      <c r="AN3" s="228"/>
      <c r="AO3" s="228"/>
      <c r="AP3" s="228"/>
      <c r="AQ3" s="228"/>
      <c r="AR3" s="228"/>
      <c r="AS3" s="228"/>
      <c r="AT3" s="228"/>
      <c r="AU3" s="228"/>
      <c r="AV3" s="228"/>
      <c r="AW3" s="228"/>
      <c r="AX3" s="228"/>
      <c r="AY3" s="228"/>
      <c r="AZ3" s="228"/>
      <c r="BA3" s="228"/>
      <c r="BB3" s="228"/>
      <c r="BC3" s="228"/>
      <c r="BD3" s="228"/>
      <c r="BE3" s="228"/>
      <c r="BF3" s="228"/>
      <c r="BG3" s="228"/>
      <c r="BH3" s="228"/>
      <c r="BI3" s="228"/>
      <c r="BJ3" s="228"/>
      <c r="BK3" s="228"/>
      <c r="BL3" s="228"/>
      <c r="BM3" s="228"/>
      <c r="BN3" s="228"/>
      <c r="BO3" s="228"/>
      <c r="BP3" s="228"/>
      <c r="BQ3" s="228"/>
      <c r="BR3" s="228"/>
      <c r="BS3" s="228"/>
      <c r="BT3" s="228"/>
      <c r="BU3" s="228"/>
      <c r="BV3" s="228"/>
      <c r="BW3" s="228"/>
      <c r="BX3" s="228"/>
      <c r="BY3" s="228"/>
      <c r="BZ3" s="228"/>
      <c r="CA3" s="228"/>
      <c r="CB3" s="228"/>
      <c r="CC3" s="228"/>
      <c r="CD3" s="228"/>
      <c r="CE3" s="228"/>
      <c r="CF3" s="228"/>
      <c r="CG3" s="228"/>
      <c r="CH3" s="228"/>
      <c r="CI3" s="228"/>
      <c r="CJ3" s="228"/>
      <c r="CK3" s="228"/>
      <c r="CL3" s="228"/>
      <c r="CM3" s="228"/>
      <c r="CN3" s="228"/>
      <c r="CO3" s="228"/>
      <c r="CP3" s="228"/>
      <c r="CQ3" s="228"/>
      <c r="CR3" s="228"/>
      <c r="CS3" s="228"/>
      <c r="CT3" s="228"/>
      <c r="CU3" s="228"/>
      <c r="CV3" s="228"/>
      <c r="CW3" s="228"/>
      <c r="CX3" s="228"/>
      <c r="CY3" s="228"/>
      <c r="CZ3" s="228"/>
      <c r="DA3" s="228"/>
      <c r="DB3" s="228"/>
      <c r="DC3" s="228"/>
      <c r="DD3" s="228"/>
      <c r="DE3" s="228"/>
      <c r="DF3" s="228"/>
      <c r="DG3" s="228"/>
      <c r="DH3" s="228"/>
      <c r="DI3" s="228"/>
      <c r="DJ3" s="228"/>
      <c r="DK3" s="228"/>
      <c r="DL3" s="228"/>
      <c r="DM3" s="228"/>
      <c r="DN3" s="228"/>
      <c r="DO3" s="228"/>
      <c r="DP3" s="228"/>
      <c r="DQ3" s="228"/>
      <c r="DR3" s="228"/>
      <c r="DS3" s="228"/>
      <c r="DT3" s="228"/>
      <c r="DU3" s="228"/>
      <c r="DV3" s="228"/>
      <c r="DW3" s="228"/>
      <c r="DX3" s="228"/>
      <c r="DY3" s="228"/>
      <c r="DZ3" s="228"/>
      <c r="EA3" s="228"/>
      <c r="EB3" s="228"/>
      <c r="EC3" s="228"/>
      <c r="ED3" s="228"/>
      <c r="EE3" s="228"/>
      <c r="EF3" s="228"/>
      <c r="EG3" s="228"/>
      <c r="EH3" s="228"/>
      <c r="EI3" s="228"/>
      <c r="EJ3" s="228"/>
      <c r="EK3" s="228"/>
      <c r="EL3" s="228"/>
      <c r="EM3" s="228"/>
      <c r="EN3" s="228"/>
      <c r="EO3" s="228"/>
      <c r="EP3" s="228"/>
      <c r="EQ3" s="228"/>
      <c r="ER3" s="228"/>
      <c r="ES3" s="228"/>
      <c r="ET3" s="228"/>
      <c r="EU3" s="228"/>
      <c r="EV3" s="228"/>
      <c r="EW3" s="228"/>
      <c r="EX3" s="228"/>
      <c r="EY3" s="228"/>
      <c r="EZ3" s="228"/>
      <c r="FA3" s="228"/>
      <c r="FB3" s="228"/>
      <c r="FC3" s="228"/>
      <c r="FD3" s="228"/>
      <c r="FE3" s="228"/>
      <c r="FF3" s="228"/>
      <c r="FG3" s="228"/>
      <c r="FH3" s="228"/>
      <c r="FI3" s="228"/>
      <c r="FJ3" s="228"/>
      <c r="FK3" s="228"/>
      <c r="FL3" s="228"/>
      <c r="FM3" s="228"/>
      <c r="FN3" s="228"/>
      <c r="FO3" s="228"/>
      <c r="FP3" s="228"/>
      <c r="FQ3" s="228"/>
      <c r="FR3" s="228"/>
      <c r="FS3" s="228"/>
      <c r="FT3" s="228"/>
      <c r="FU3" s="228"/>
      <c r="FV3" s="228"/>
      <c r="FW3" s="228"/>
      <c r="FX3" s="228"/>
      <c r="FY3" s="228"/>
      <c r="FZ3" s="228"/>
      <c r="GA3" s="228"/>
      <c r="GB3" s="228"/>
      <c r="GC3" s="228"/>
      <c r="GD3" s="228"/>
      <c r="GE3" s="228"/>
      <c r="GF3" s="228"/>
      <c r="GG3" s="228"/>
      <c r="GH3" s="228"/>
      <c r="GI3" s="228"/>
      <c r="GJ3" s="228"/>
      <c r="GK3" s="228"/>
      <c r="GL3" s="228"/>
      <c r="GM3" s="228"/>
      <c r="GN3" s="228"/>
      <c r="GO3" s="228"/>
      <c r="GP3" s="228"/>
      <c r="GQ3" s="228"/>
      <c r="GR3" s="228"/>
      <c r="GS3" s="228"/>
      <c r="GT3" s="228"/>
      <c r="GU3" s="228"/>
      <c r="GV3" s="228"/>
      <c r="GW3" s="228"/>
      <c r="GX3" s="228"/>
      <c r="GY3" s="228"/>
      <c r="GZ3" s="228"/>
      <c r="HA3" s="228"/>
      <c r="HB3" s="228"/>
      <c r="HC3" s="228"/>
      <c r="HD3" s="228"/>
      <c r="HE3" s="228"/>
      <c r="HF3" s="228"/>
      <c r="HG3" s="228"/>
      <c r="HH3" s="228"/>
      <c r="HI3" s="228"/>
      <c r="HJ3" s="228"/>
      <c r="HK3" s="228"/>
      <c r="HL3" s="228"/>
      <c r="HM3" s="228"/>
      <c r="HN3" s="228"/>
      <c r="HO3" s="228"/>
      <c r="HP3" s="228"/>
      <c r="HQ3" s="228"/>
      <c r="HR3" s="228"/>
      <c r="HS3" s="228"/>
      <c r="HT3" s="228"/>
      <c r="HU3" s="228"/>
      <c r="HV3" s="228"/>
      <c r="HW3" s="228"/>
      <c r="HX3" s="228"/>
      <c r="HY3" s="228"/>
      <c r="HZ3" s="228"/>
      <c r="IA3" s="228"/>
      <c r="IB3" s="228"/>
      <c r="IC3" s="228"/>
      <c r="ID3" s="228"/>
      <c r="IE3" s="228"/>
      <c r="IF3" s="228"/>
      <c r="IG3" s="228"/>
      <c r="IH3" s="228"/>
      <c r="II3" s="228"/>
      <c r="IJ3" s="228"/>
      <c r="IK3" s="228"/>
      <c r="IL3" s="228"/>
      <c r="IM3" s="228"/>
      <c r="IN3" s="228"/>
      <c r="IO3" s="228"/>
      <c r="IP3" s="228"/>
      <c r="IQ3" s="228"/>
      <c r="IR3" s="228"/>
      <c r="IS3" s="228"/>
      <c r="IT3" s="228"/>
      <c r="IU3" s="228"/>
      <c r="IV3" s="228"/>
      <c r="IW3" s="512">
        <v>0</v>
      </c>
    </row>
    <row s="1820" customFormat="1" customHeight="1" ht="14.699999999999998">
      <c r="A4" s="1156"/>
      <c r="B4" s="1161"/>
      <c r="C4" s="1156"/>
      <c r="D4" s="1496"/>
      <c r="E4" s="510"/>
      <c r="F4" s="510"/>
      <c r="G4" s="510"/>
      <c r="H4" s="510"/>
      <c r="I4" s="510"/>
      <c r="J4" s="510"/>
      <c r="K4" s="510"/>
      <c r="L4" s="167"/>
      <c r="M4" s="248"/>
      <c r="N4" s="501"/>
      <c r="O4" s="501"/>
      <c r="P4" s="501"/>
      <c r="Q4" s="227"/>
      <c r="R4" s="501"/>
      <c r="S4" s="226"/>
      <c r="T4" s="226"/>
      <c r="U4" s="226"/>
      <c r="V4" s="226"/>
      <c r="IW4" s="508">
        <v>14</v>
      </c>
    </row>
    <row s="1820" customFormat="1" customHeight="1" ht="27.299999999999997">
      <c r="A5" s="1156"/>
      <c r="B5" s="1161"/>
      <c r="C5" s="1156"/>
      <c r="D5" s="1496"/>
      <c r="E5" s="2101" t="str">
        <f>"Форма "&amp;IF(TEMPLATE_SPHERE="HEAT","4","3")&amp;". Информация о рассмотрении дел об установлении "&amp;IF(TEMPLATE_SPHERE="TKO","предельных тарифов","тарифов в сфере "&amp;TEMPLATE_SPHERE_RUS)</f>
        <v>Форма 4. Информация о рассмотрении дел об установлении тарифов в сфере теплоснабжения</v>
      </c>
      <c r="F5" s="2101"/>
      <c r="G5" s="2101"/>
      <c r="H5" s="2101"/>
      <c r="I5" s="2101"/>
      <c r="J5" s="2101"/>
      <c r="K5" s="2101"/>
      <c r="L5" s="589"/>
      <c r="M5" s="248"/>
      <c r="N5" s="501"/>
      <c r="O5" s="501"/>
      <c r="P5" s="501"/>
      <c r="Q5" s="227"/>
      <c r="R5" s="501"/>
      <c r="S5" s="226"/>
      <c r="T5" s="226"/>
      <c r="U5" s="226"/>
      <c r="V5" s="226"/>
      <c r="IW5" s="508">
        <v>26</v>
      </c>
    </row>
    <row s="1820" customFormat="1" customHeight="1" ht="14.699999999999998">
      <c r="A6" s="1156"/>
      <c r="B6" s="1161"/>
      <c r="C6" s="1156"/>
      <c r="D6" s="1496"/>
      <c r="E6" s="510"/>
      <c r="F6" s="168"/>
      <c r="G6" s="168"/>
      <c r="H6" s="168"/>
      <c r="I6" s="168"/>
      <c r="J6" s="168"/>
      <c r="K6" s="168"/>
      <c r="L6" s="169"/>
      <c r="M6" s="501"/>
      <c r="N6" s="501"/>
      <c r="O6" s="501"/>
      <c r="P6" s="501"/>
      <c r="Q6" s="227"/>
      <c r="R6" s="501"/>
      <c r="S6" s="226"/>
      <c r="T6" s="226"/>
      <c r="U6" s="226"/>
      <c r="V6" s="226"/>
      <c r="IW6" s="508">
        <v>14</v>
      </c>
    </row>
    <row s="1820" customFormat="1" customHeight="1" ht="14.699999999999998">
      <c r="A7" s="1156"/>
      <c r="B7" s="1161"/>
      <c r="C7" s="1156"/>
      <c r="D7" s="1496"/>
      <c r="E7" s="2102" t="s">
        <v>317</v>
      </c>
      <c r="F7" s="2103"/>
      <c r="G7" s="2103"/>
      <c r="H7" s="2103"/>
      <c r="I7" s="2103"/>
      <c r="J7" s="2103"/>
      <c r="K7" s="2103"/>
      <c r="L7" s="2475" t="s">
        <v>318</v>
      </c>
      <c r="M7" s="501"/>
      <c r="N7" s="501"/>
      <c r="O7" s="501"/>
      <c r="P7" s="501"/>
      <c r="Q7" s="227"/>
      <c r="R7" s="501"/>
      <c r="S7" s="226"/>
      <c r="T7" s="226"/>
      <c r="U7" s="226"/>
      <c r="V7" s="226"/>
      <c r="IW7" s="508">
        <v>14</v>
      </c>
    </row>
    <row s="1820" customFormat="1" customHeight="1" ht="67.2">
      <c r="A8" s="1156"/>
      <c r="B8" s="1161"/>
      <c r="C8" s="1156"/>
      <c r="D8" s="1496"/>
      <c r="E8" s="2479" t="s">
        <v>89</v>
      </c>
      <c r="F8" s="2479" t="str">
        <f>"Наименование "&amp;IF(TEMPLATE_SPHERE="TKO","регионального органа регулирования (органа местного самоуправления)","органа "&amp;IF(TEMPLATE_SPHERE="HEAT","тарифного регулирования","регулирования тарифов"))</f>
        <v>Наименование органа тарифного регулирования</v>
      </c>
      <c r="G8" s="2481" t="str">
        <f>"Заседание правления (коллегии) "&amp;IF(TEMPLATE_SPHERE="TKO","регионального органа регулирования (органа местного самоуправления)","органа "&amp;IF(TEMPLATE_SPHERE="HEAT","тарифного регулирования","регулирования тарифов"))&amp;", на котором планируется рассмотрение дел об установлении "&amp;IF(TEMPLATE_SPHERE="TKO","предельных тарифов",IF(TEMPLATE_SPHERE="HEAT","цен (тарифов) в сфере теплоснабжения","тарифов в сфере водоснабжения и водоотведения"))</f>
        <v>Заседание правления (коллегии) органа тарифного регулирования, на котором планируется рассмотрение дел об установлении цен (тарифов) в сфере теплоснабжения</v>
      </c>
      <c r="H8" s="2482"/>
      <c r="I8" s="2483"/>
      <c r="J8" s="2479" t="str">
        <f>"Принятые "&amp;IF(TEMPLATE_SPHERE="TKO","региональным органом регулирования (органом местного самоуправления)","органом "&amp;IF(TEMPLATE_SPHERE="HEAT","тарифного регулирования","регулирования тарифов"))&amp;" решения об установлении "&amp;IF(TEMPLATE_SPHERE="TKO","предельных тарифов",IF(TEMPLATE_SPHERE="HEAT","цен (тарифов) в сфере теплоснабжения, а также решения об утверждении предельного уровня цены на тепловую энергию (мощность), принимаемые в соответствии с Федеральным законом от 27 июля 2010 г. N 190-ФЗ ""О теплоснабжении""","тарифов в сфере водоснабжения и водоотведения"))</f>
        <v>Принятые органом тарифного регулирования решения об установлении цен (тарифов) в сфере теплоснабжения, а также решения об утверждении предельного уровня цены на тепловую энергию (мощность), принимаемые в соответствии с Федеральным законом от 27 июля 2010 г. N 190-ФЗ "О теплоснабжении"</v>
      </c>
      <c r="K8" s="2479" t="str">
        <f>"Протокол заседания правления (коллегии) "&amp;IF(TEMPLATE_SPHERE="TKO","регионального органа регулирования (органа местного самоуправления)","органа "&amp;IF(TEMPLATE_SPHERE="HEAT","тарифного регулирования","регулирования тарифов"))&amp;", оформленный в соответствии "&amp;IF(TEMPLATE_SPHERE="HEAT","с законодательством Российской Федерации",IF(TEMPLATE_SPHERE="TKO","с требованиями, установленными Правилами регулирования тарифов в сфере обращения с твердыми коммунальными отходами, утвержденными постановлением Правительства Российской Федерации от 30 мая 2016 г. N 484","с требованиями, установленными Правилами регулирования тарифов в сфере водоснабжения и водоотведения, утвержденными постановлением Правительства Российской Федерации от 13 мая 2013 г. № 406"))</f>
        <v>Протокол заседания правления (коллегии) органа тарифного регулирования, оформленный в соответствии с законодательством Российской Федерации</v>
      </c>
      <c r="L8" s="2477"/>
      <c r="M8" s="501"/>
      <c r="N8" s="501"/>
      <c r="O8" s="501"/>
      <c r="P8" s="501"/>
      <c r="Q8" s="227"/>
      <c r="R8" s="501"/>
      <c r="S8" s="226"/>
      <c r="T8" s="226"/>
      <c r="U8" s="226"/>
      <c r="V8" s="226"/>
      <c r="IW8" s="508">
        <v>64</v>
      </c>
    </row>
    <row s="1820" customFormat="1" customHeight="1" ht="29.25">
      <c r="A9" s="1156"/>
      <c r="B9" s="1161"/>
      <c r="C9" s="1156"/>
      <c r="D9" s="1496"/>
      <c r="E9" s="2480"/>
      <c r="F9" s="2480"/>
      <c r="G9" s="1538" t="s">
        <v>1889</v>
      </c>
      <c r="H9" s="1538" t="s">
        <v>1890</v>
      </c>
      <c r="I9" s="1538" t="s">
        <v>1891</v>
      </c>
      <c r="J9" s="2480"/>
      <c r="K9" s="2480"/>
      <c r="L9" s="2476"/>
      <c r="M9" s="501"/>
      <c r="N9" s="501"/>
      <c r="O9" s="501"/>
      <c r="P9" s="501"/>
      <c r="Q9" s="227"/>
      <c r="R9" s="501"/>
      <c r="S9" s="226"/>
      <c r="T9" s="226"/>
      <c r="U9" s="226"/>
      <c r="V9" s="226"/>
      <c r="IW9" s="508">
        <v>28</v>
      </c>
    </row>
    <row s="1851" customFormat="1" customHeight="1" ht="23.25">
      <c r="A10" s="2100"/>
      <c r="B10" s="1161">
        <v>1</v>
      </c>
      <c r="C10" s="1161"/>
      <c r="D10" s="801"/>
      <c r="E10" s="799">
        <v>1</v>
      </c>
      <c r="F10" s="1540" t="str">
        <f>IF(ROIV_INFO_NAME="","",ROIV_INFO_NAME)</f>
        <v>ПАО "КГК"</v>
      </c>
      <c r="G10" s="1733" t="s">
        <v>28</v>
      </c>
      <c r="H10" s="1917"/>
      <c r="I10" s="1535"/>
      <c r="J10" s="819"/>
      <c r="K10" s="819"/>
      <c r="L10" s="2433" t="str">
        <f>"В поле «"&amp;F8&amp;"» указывается наименование в соответствии с нормативным правовым актом, на основании которого региональный орган регулирования (орган местного самоуправления) образован."&amp;"
В поле «дата» указывается дата в виде «ДД.ММ.ГГГГ».
В поле «место» указывается адрес места проведения заседания (коллегии).
В полях «"&amp;MID(J8,1,40)&amp;"… » и «"&amp;MID(K8,1,40)&amp;"…» указываются ссылка на документ, предварительно загруженный в хранилище файлов ФГИС ЕИАС."</f>
        <v>В поле «Наименование органа тарифного регулирования» указывается наименование в соответствии с нормативным правовым актом, на основании которого региональный орган регулирования (орган местного самоуправления) образован.
В поле «дата» указывается дата в виде «ДД.ММ.ГГГГ».
В поле «место» указывается адрес места проведения заседания (коллегии).
В полях «Принятые органом тарифного регулирования… » и «Протокол заседания правления (коллегии) …» указываются ссылка на документ, предварительно загруженный в хранилище файлов ФГИС ЕИАС.</v>
      </c>
      <c r="M10" s="1536">
        <f>MERGEVALUE(F10)</f>
      </c>
      <c r="N10" s="512"/>
      <c r="O10" s="512"/>
      <c r="P10" s="501" t="str">
        <f t="array" ref="P10:P10">IF(ISERROR(MATCH(MID(Q10,1,250),MID(note_ter,1,250),0)),"n","y")</f>
        <v>n</v>
      </c>
      <c r="Q10" s="512"/>
      <c r="R10" s="501" t="str">
        <f>G10&amp;"("&amp;L10&amp;")"</f>
        <v>(В поле «Наименование органа тарифного регулирования» указывается наименование в соответствии с нормативным правовым актом, на основании которого региональный орган регулирования (орган местного самоуправления) образован.
В поле «дата» указывается дата в виде «ДД.ММ.ГГГГ».
В поле «место» указывается адрес места проведения заседания (коллегии).
В полях «Принятые органом тарифного регулирования… » и «Протокол заседания правления (коллегии) …» указываются ссылка на документ, предварительно загруженный в хранилище файлов ФГИС ЕИАС.)</v>
      </c>
      <c r="S10" s="1161"/>
      <c r="T10" s="1161"/>
      <c r="U10" s="421"/>
      <c r="V10" s="1161"/>
      <c r="W10" s="1161"/>
      <c r="X10" s="1161"/>
      <c r="Y10" s="423"/>
      <c r="Z10" s="423"/>
      <c r="AA10" s="420"/>
      <c r="AB10" s="420"/>
      <c r="AC10" s="420"/>
      <c r="AD10" s="420"/>
      <c r="AE10" s="420"/>
      <c r="AF10" s="420"/>
      <c r="AG10" s="420"/>
      <c r="AH10" s="420"/>
      <c r="AI10" s="420"/>
      <c r="AJ10" s="420"/>
      <c r="AK10" s="420"/>
      <c r="AL10" s="420"/>
      <c r="AM10" s="420"/>
      <c r="AN10" s="420"/>
      <c r="AO10" s="420"/>
      <c r="AP10" s="420"/>
      <c r="AQ10" s="420"/>
      <c r="AR10" s="420"/>
      <c r="AS10" s="420"/>
      <c r="AT10" s="420"/>
      <c r="AU10" s="420"/>
      <c r="AV10" s="420"/>
      <c r="AW10" s="420"/>
      <c r="AX10" s="420"/>
      <c r="AY10" s="420"/>
      <c r="AZ10" s="420"/>
      <c r="BA10" s="420"/>
      <c r="BB10" s="420"/>
      <c r="BC10" s="420"/>
      <c r="BD10" s="420"/>
      <c r="BE10" s="420"/>
      <c r="BF10" s="420"/>
      <c r="BG10" s="420"/>
      <c r="BH10" s="420"/>
      <c r="BI10" s="420"/>
      <c r="BJ10" s="420"/>
      <c r="BK10" s="420"/>
      <c r="BL10" s="420"/>
      <c r="BM10" s="420"/>
      <c r="BN10" s="420"/>
      <c r="BO10" s="420"/>
      <c r="BP10" s="420"/>
      <c r="BQ10" s="420"/>
      <c r="BR10" s="420"/>
      <c r="BS10" s="420"/>
      <c r="BT10" s="420"/>
      <c r="BU10" s="420"/>
      <c r="BV10" s="423"/>
      <c r="BW10" s="423"/>
      <c r="BX10" s="423"/>
      <c r="BY10" s="423"/>
      <c r="BZ10" s="423"/>
      <c r="CA10" s="423"/>
      <c r="CB10" s="423"/>
      <c r="CC10" s="423"/>
      <c r="CD10" s="423"/>
      <c r="CE10" s="423"/>
      <c r="IW10" s="424">
        <v>22</v>
      </c>
    </row>
    <row s="1851" customFormat="1" customHeight="1" ht="15.75">
      <c r="A11" s="2100"/>
      <c r="B11" s="1161"/>
      <c r="C11" s="413"/>
      <c r="D11" s="802"/>
      <c r="E11" s="422"/>
      <c r="F11" s="417" t="s">
        <v>1892</v>
      </c>
      <c r="G11" s="188"/>
      <c r="H11" s="188"/>
      <c r="I11" s="188"/>
      <c r="J11" s="188"/>
      <c r="K11" s="425"/>
      <c r="L11" s="2478"/>
      <c r="M11" s="1537"/>
      <c r="N11" s="512"/>
      <c r="O11" s="512"/>
      <c r="P11" s="512"/>
      <c r="Q11" s="501"/>
      <c r="R11" s="512"/>
      <c r="S11" s="1161"/>
      <c r="T11" s="1161"/>
      <c r="U11" s="421"/>
      <c r="V11" s="1161"/>
      <c r="W11" s="1161"/>
      <c r="X11" s="1161"/>
      <c r="Y11" s="423"/>
      <c r="Z11" s="423"/>
      <c r="AA11" s="420"/>
      <c r="AB11" s="420"/>
      <c r="AC11" s="420"/>
      <c r="AD11" s="420"/>
      <c r="AE11" s="420"/>
      <c r="AF11" s="420"/>
      <c r="AG11" s="420"/>
      <c r="AH11" s="420"/>
      <c r="AI11" s="420"/>
      <c r="AJ11" s="420"/>
      <c r="AK11" s="420"/>
      <c r="AL11" s="420"/>
      <c r="AM11" s="420"/>
      <c r="AN11" s="420"/>
      <c r="AO11" s="420"/>
      <c r="AP11" s="420"/>
      <c r="AQ11" s="420"/>
      <c r="AR11" s="420"/>
      <c r="AS11" s="420"/>
      <c r="AT11" s="420"/>
      <c r="AU11" s="420"/>
      <c r="AV11" s="420"/>
      <c r="AW11" s="420"/>
      <c r="AX11" s="420"/>
      <c r="AY11" s="420"/>
      <c r="AZ11" s="420"/>
      <c r="BA11" s="420"/>
      <c r="BB11" s="420"/>
      <c r="BC11" s="420"/>
      <c r="BD11" s="420"/>
      <c r="BE11" s="420"/>
      <c r="BF11" s="420"/>
      <c r="BG11" s="420"/>
      <c r="BH11" s="420"/>
      <c r="BI11" s="420"/>
      <c r="BJ11" s="420"/>
      <c r="BK11" s="420"/>
      <c r="BL11" s="420"/>
      <c r="BM11" s="420"/>
      <c r="BN11" s="420"/>
      <c r="BO11" s="420"/>
      <c r="BP11" s="420"/>
      <c r="BQ11" s="420"/>
      <c r="BR11" s="420"/>
      <c r="BS11" s="420"/>
      <c r="BT11" s="420"/>
      <c r="BU11" s="420"/>
      <c r="BV11" s="423"/>
      <c r="BW11" s="423"/>
      <c r="BX11" s="423"/>
      <c r="BY11" s="423"/>
      <c r="BZ11" s="423"/>
      <c r="CA11" s="423"/>
      <c r="CB11" s="423"/>
      <c r="CC11" s="423"/>
      <c r="CD11" s="423"/>
      <c r="CE11" s="423"/>
      <c r="IW11" s="424">
        <v>15</v>
      </c>
    </row>
    <row s="1820" customFormat="1" customHeight="1" ht="22.049999999999997">
      <c r="A12" s="1156"/>
      <c r="B12" s="1161"/>
      <c r="C12" s="1156"/>
      <c r="D12" s="452"/>
      <c r="E12" s="181"/>
      <c r="F12" s="181"/>
      <c r="G12" s="181"/>
      <c r="H12" s="181"/>
      <c r="I12" s="181"/>
      <c r="J12" s="181"/>
      <c r="K12" s="181"/>
      <c r="L12" s="181"/>
      <c r="M12" s="501"/>
      <c r="N12" s="501"/>
      <c r="O12" s="501"/>
      <c r="P12" s="501"/>
      <c r="Q12" s="227"/>
      <c r="R12" s="501"/>
      <c r="S12" s="226"/>
      <c r="T12" s="226"/>
      <c r="U12" s="226"/>
      <c r="V12" s="226"/>
      <c r="IW12" s="508">
        <v>21</v>
      </c>
    </row>
    <row s="1820" customFormat="1" customHeight="1" ht="14.699999999999998">
      <c r="A13" s="1156"/>
      <c r="B13" s="1161"/>
      <c r="C13" s="1156"/>
      <c r="D13" s="452"/>
      <c r="E13" s="1156"/>
      <c r="F13" s="1156"/>
      <c r="G13" s="1156"/>
      <c r="H13" s="1156"/>
      <c r="I13" s="1156"/>
      <c r="J13" s="1156"/>
      <c r="K13" s="1156"/>
      <c r="L13" s="1156"/>
      <c r="M13" s="501"/>
      <c r="N13" s="501"/>
      <c r="O13" s="501"/>
      <c r="P13" s="501"/>
      <c r="Q13" s="227"/>
      <c r="R13" s="501"/>
      <c r="S13" s="226"/>
      <c r="T13" s="226"/>
      <c r="U13" s="226"/>
      <c r="V13" s="226"/>
      <c r="IW13" s="508">
        <v>14</v>
      </c>
    </row>
    <row s="1820" customFormat="1" customHeight="1" ht="1.05">
      <c r="A14" s="1156"/>
      <c r="B14" s="1161"/>
      <c r="C14" s="1156"/>
      <c r="D14" s="452"/>
      <c r="E14" s="1156"/>
      <c r="F14" s="1156"/>
      <c r="G14" s="1156"/>
      <c r="H14" s="1156"/>
      <c r="I14" s="1156"/>
      <c r="J14" s="1156"/>
      <c r="K14" s="1156"/>
      <c r="L14" s="1156"/>
      <c r="M14" s="501"/>
      <c r="N14" s="501"/>
      <c r="O14" s="501"/>
      <c r="P14" s="501"/>
      <c r="Q14" s="227"/>
      <c r="R14" s="501"/>
      <c r="S14" s="226"/>
      <c r="T14" s="226"/>
      <c r="U14" s="226"/>
      <c r="V14" s="226"/>
      <c r="IW14" s="508">
        <v>1</v>
      </c>
    </row>
    <row customHeight="1" ht="22.5" hidden="1">
      <c r="A15" s="1156" t="s">
        <v>83</v>
      </c>
      <c r="B15" s="1161">
        <v>0</v>
      </c>
      <c r="C15" s="1156">
        <v>0</v>
      </c>
      <c r="D15" s="452">
        <v>3</v>
      </c>
      <c r="E15" s="1156">
        <v>6</v>
      </c>
      <c r="F15" s="1156">
        <v>27</v>
      </c>
      <c r="G15" s="1156">
        <v>16</v>
      </c>
      <c r="H15" s="1156">
        <v>12</v>
      </c>
      <c r="I15" s="1156">
        <v>32</v>
      </c>
      <c r="J15" s="1156">
        <v>41</v>
      </c>
      <c r="K15" s="1156">
        <v>41</v>
      </c>
      <c r="L15" s="1156">
        <v>89</v>
      </c>
      <c r="M15" s="501">
        <v>3</v>
      </c>
      <c r="N15" s="501">
        <v>8</v>
      </c>
      <c r="O15" s="501">
        <v>8</v>
      </c>
      <c r="P15" s="501">
        <v>8</v>
      </c>
      <c r="Q15" s="227">
        <v>25</v>
      </c>
      <c r="R15" s="501">
        <v>14</v>
      </c>
      <c r="S15" s="226">
        <v>8</v>
      </c>
      <c r="T15" s="226">
        <v>8</v>
      </c>
      <c r="U15" s="226">
        <v>8</v>
      </c>
      <c r="V15" s="226">
        <v>8</v>
      </c>
      <c r="W15" s="1156">
        <v>8</v>
      </c>
      <c r="X15" s="1156">
        <v>8</v>
      </c>
      <c r="Y15" s="1156">
        <v>8</v>
      </c>
      <c r="Z15" s="1156">
        <v>8</v>
      </c>
      <c r="AA15" s="1156">
        <v>8</v>
      </c>
      <c r="AB15" s="1156">
        <v>8</v>
      </c>
      <c r="AC15" s="1156">
        <v>8</v>
      </c>
      <c r="AD15" s="1156">
        <v>8</v>
      </c>
      <c r="AE15" s="1156">
        <v>8</v>
      </c>
      <c r="AF15" s="1156">
        <v>8</v>
      </c>
      <c r="AG15" s="1156">
        <v>8</v>
      </c>
      <c r="AH15" s="1156">
        <v>8</v>
      </c>
      <c r="AI15" s="1156">
        <v>8</v>
      </c>
      <c r="AJ15" s="1156">
        <v>8</v>
      </c>
      <c r="AK15" s="1156">
        <v>8</v>
      </c>
      <c r="AL15" s="1156">
        <v>8</v>
      </c>
      <c r="AM15" s="1156">
        <v>8</v>
      </c>
      <c r="AN15" s="1156">
        <v>8</v>
      </c>
      <c r="AO15" s="1156">
        <v>8</v>
      </c>
      <c r="AP15" s="1156">
        <v>8</v>
      </c>
      <c r="AQ15" s="1156">
        <v>8</v>
      </c>
      <c r="AR15" s="1156">
        <v>8</v>
      </c>
      <c r="AS15" s="1156">
        <v>8</v>
      </c>
      <c r="AT15" s="1156">
        <v>8</v>
      </c>
      <c r="AU15" s="1156">
        <v>8</v>
      </c>
      <c r="AV15" s="1156">
        <v>8</v>
      </c>
      <c r="AW15" s="1156">
        <v>8</v>
      </c>
      <c r="AX15" s="1156">
        <v>8</v>
      </c>
      <c r="AY15" s="1156">
        <v>8</v>
      </c>
      <c r="AZ15" s="1156">
        <v>8</v>
      </c>
      <c r="BA15" s="1156">
        <v>8</v>
      </c>
      <c r="BB15" s="1156">
        <v>8</v>
      </c>
      <c r="BC15" s="1156">
        <v>8</v>
      </c>
      <c r="BD15" s="1156">
        <v>8</v>
      </c>
      <c r="BE15" s="1156">
        <v>8</v>
      </c>
      <c r="BF15" s="1156">
        <v>8</v>
      </c>
      <c r="BG15" s="1156">
        <v>8</v>
      </c>
      <c r="BH15" s="1156">
        <v>8</v>
      </c>
      <c r="BI15" s="1156">
        <v>8</v>
      </c>
      <c r="BJ15" s="1156">
        <v>8</v>
      </c>
      <c r="BK15" s="1156">
        <v>8</v>
      </c>
      <c r="BL15" s="1156">
        <v>8</v>
      </c>
      <c r="BM15" s="1156">
        <v>8</v>
      </c>
      <c r="BN15" s="1156">
        <v>8</v>
      </c>
      <c r="BO15" s="1156">
        <v>8</v>
      </c>
      <c r="BP15" s="1156">
        <v>8</v>
      </c>
      <c r="BQ15" s="1156">
        <v>8</v>
      </c>
      <c r="BR15" s="1156">
        <v>8</v>
      </c>
      <c r="BS15" s="1156">
        <v>8</v>
      </c>
      <c r="BT15" s="1156">
        <v>8</v>
      </c>
      <c r="BU15" s="1156">
        <v>8</v>
      </c>
      <c r="BV15" s="1156">
        <v>8</v>
      </c>
      <c r="BW15" s="1156">
        <v>8</v>
      </c>
      <c r="BX15" s="1156">
        <v>8</v>
      </c>
      <c r="BY15" s="1156">
        <v>8</v>
      </c>
      <c r="BZ15" s="1156">
        <v>8</v>
      </c>
      <c r="CA15" s="1156">
        <v>8</v>
      </c>
      <c r="CB15" s="1156">
        <v>8</v>
      </c>
      <c r="CC15" s="1156">
        <v>8</v>
      </c>
      <c r="CD15" s="1156">
        <v>8</v>
      </c>
      <c r="CE15" s="1156">
        <v>8</v>
      </c>
      <c r="CF15" s="1156">
        <v>8</v>
      </c>
      <c r="CG15" s="1156">
        <v>8</v>
      </c>
      <c r="CH15" s="1156">
        <v>8</v>
      </c>
      <c r="CI15" s="1156">
        <v>8</v>
      </c>
      <c r="CJ15" s="1156">
        <v>8</v>
      </c>
      <c r="CK15" s="1156">
        <v>8</v>
      </c>
      <c r="CL15" s="1156">
        <v>8</v>
      </c>
      <c r="CM15" s="1156">
        <v>8</v>
      </c>
      <c r="CN15" s="1156">
        <v>8</v>
      </c>
      <c r="CO15" s="1156">
        <v>8</v>
      </c>
      <c r="CP15" s="1156">
        <v>8</v>
      </c>
      <c r="CQ15" s="1156">
        <v>8</v>
      </c>
      <c r="CR15" s="1156">
        <v>8</v>
      </c>
      <c r="CS15" s="1156">
        <v>8</v>
      </c>
      <c r="CT15" s="1156">
        <v>8</v>
      </c>
      <c r="CU15" s="1156">
        <v>8</v>
      </c>
      <c r="CV15" s="1156">
        <v>8</v>
      </c>
      <c r="CW15" s="1156">
        <v>8</v>
      </c>
      <c r="CX15" s="1156">
        <v>8</v>
      </c>
      <c r="CY15" s="1156">
        <v>8</v>
      </c>
      <c r="CZ15" s="1156">
        <v>8</v>
      </c>
      <c r="DA15" s="1156">
        <v>8</v>
      </c>
      <c r="DB15" s="1156">
        <v>8</v>
      </c>
      <c r="DC15" s="1156">
        <v>8</v>
      </c>
      <c r="DD15" s="1156">
        <v>8</v>
      </c>
      <c r="DE15" s="1156">
        <v>8</v>
      </c>
      <c r="DF15" s="1156">
        <v>8</v>
      </c>
      <c r="DG15" s="1156">
        <v>8</v>
      </c>
      <c r="DH15" s="1156">
        <v>8</v>
      </c>
      <c r="DI15" s="1156">
        <v>8</v>
      </c>
      <c r="DJ15" s="1156">
        <v>8</v>
      </c>
      <c r="DK15" s="1156">
        <v>8</v>
      </c>
      <c r="DL15" s="1156">
        <v>8</v>
      </c>
      <c r="DM15" s="1156">
        <v>8</v>
      </c>
      <c r="DN15" s="1156">
        <v>8</v>
      </c>
      <c r="DO15" s="1156">
        <v>8</v>
      </c>
      <c r="DP15" s="1156">
        <v>8</v>
      </c>
      <c r="DQ15" s="1156">
        <v>8</v>
      </c>
      <c r="DR15" s="1156">
        <v>8</v>
      </c>
      <c r="DS15" s="1156">
        <v>8</v>
      </c>
      <c r="DT15" s="1156">
        <v>8</v>
      </c>
      <c r="DU15" s="1156">
        <v>8</v>
      </c>
      <c r="DV15" s="1156">
        <v>8</v>
      </c>
      <c r="DW15" s="1156">
        <v>8</v>
      </c>
      <c r="DX15" s="1156">
        <v>8</v>
      </c>
      <c r="DY15" s="1156">
        <v>8</v>
      </c>
      <c r="DZ15" s="1156">
        <v>8</v>
      </c>
      <c r="EA15" s="1156">
        <v>8</v>
      </c>
      <c r="EB15" s="1156">
        <v>8</v>
      </c>
      <c r="EC15" s="1156">
        <v>8</v>
      </c>
      <c r="ED15" s="1156">
        <v>8</v>
      </c>
      <c r="EE15" s="1156">
        <v>8</v>
      </c>
      <c r="EF15" s="1156">
        <v>8</v>
      </c>
      <c r="EG15" s="1156">
        <v>8</v>
      </c>
      <c r="EH15" s="1156">
        <v>8</v>
      </c>
      <c r="EI15" s="1156">
        <v>8</v>
      </c>
      <c r="EJ15" s="1156">
        <v>8</v>
      </c>
      <c r="EK15" s="1156">
        <v>8</v>
      </c>
      <c r="EL15" s="1156">
        <v>8</v>
      </c>
      <c r="EM15" s="1156">
        <v>8</v>
      </c>
      <c r="EN15" s="1156">
        <v>8</v>
      </c>
      <c r="EO15" s="1156">
        <v>8</v>
      </c>
      <c r="EP15" s="1156">
        <v>8</v>
      </c>
      <c r="EQ15" s="1156">
        <v>8</v>
      </c>
      <c r="ER15" s="1156">
        <v>8</v>
      </c>
      <c r="ES15" s="1156">
        <v>8</v>
      </c>
      <c r="ET15" s="1156">
        <v>8</v>
      </c>
      <c r="EU15" s="1156">
        <v>8</v>
      </c>
      <c r="EV15" s="1156">
        <v>8</v>
      </c>
      <c r="EW15" s="1156">
        <v>8</v>
      </c>
      <c r="EX15" s="1156">
        <v>8</v>
      </c>
      <c r="EY15" s="1156">
        <v>8</v>
      </c>
      <c r="EZ15" s="1156">
        <v>8</v>
      </c>
      <c r="FA15" s="1156">
        <v>8</v>
      </c>
      <c r="FB15" s="1156">
        <v>8</v>
      </c>
      <c r="FC15" s="1156">
        <v>8</v>
      </c>
      <c r="FD15" s="1156">
        <v>8</v>
      </c>
      <c r="FE15" s="1156">
        <v>8</v>
      </c>
      <c r="FF15" s="1156">
        <v>8</v>
      </c>
      <c r="FG15" s="1156">
        <v>8</v>
      </c>
      <c r="FH15" s="1156">
        <v>8</v>
      </c>
      <c r="FI15" s="1156">
        <v>8</v>
      </c>
      <c r="FJ15" s="1156">
        <v>8</v>
      </c>
      <c r="FK15" s="1156">
        <v>8</v>
      </c>
      <c r="FL15" s="1156">
        <v>8</v>
      </c>
      <c r="FM15" s="1156">
        <v>8</v>
      </c>
      <c r="FN15" s="1156">
        <v>8</v>
      </c>
      <c r="FO15" s="1156">
        <v>8</v>
      </c>
      <c r="FP15" s="1156">
        <v>8</v>
      </c>
      <c r="FQ15" s="1156">
        <v>8</v>
      </c>
      <c r="FR15" s="1156">
        <v>8</v>
      </c>
      <c r="FS15" s="1156">
        <v>8</v>
      </c>
      <c r="FT15" s="1156">
        <v>8</v>
      </c>
      <c r="FU15" s="1156">
        <v>8</v>
      </c>
      <c r="FV15" s="1156">
        <v>8</v>
      </c>
      <c r="FW15" s="1156">
        <v>8</v>
      </c>
      <c r="FX15" s="1156">
        <v>8</v>
      </c>
      <c r="FY15" s="1156">
        <v>8</v>
      </c>
      <c r="FZ15" s="1156">
        <v>8</v>
      </c>
      <c r="GA15" s="1156">
        <v>8</v>
      </c>
      <c r="GB15" s="1156">
        <v>8</v>
      </c>
      <c r="GC15" s="1156">
        <v>8</v>
      </c>
      <c r="GD15" s="1156">
        <v>8</v>
      </c>
      <c r="GE15" s="1156">
        <v>8</v>
      </c>
      <c r="GF15" s="1156">
        <v>8</v>
      </c>
      <c r="GG15" s="1156">
        <v>8</v>
      </c>
      <c r="GH15" s="1156">
        <v>8</v>
      </c>
      <c r="GI15" s="1156">
        <v>8</v>
      </c>
      <c r="GJ15" s="1156">
        <v>8</v>
      </c>
      <c r="GK15" s="1156">
        <v>8</v>
      </c>
      <c r="GL15" s="1156">
        <v>8</v>
      </c>
      <c r="GM15" s="1156">
        <v>8</v>
      </c>
      <c r="GN15" s="1156">
        <v>8</v>
      </c>
      <c r="GO15" s="1156">
        <v>8</v>
      </c>
      <c r="GP15" s="1156">
        <v>8</v>
      </c>
      <c r="GQ15" s="1156">
        <v>8</v>
      </c>
      <c r="GR15" s="1156">
        <v>8</v>
      </c>
      <c r="GS15" s="1156">
        <v>8</v>
      </c>
      <c r="GT15" s="1156">
        <v>8</v>
      </c>
      <c r="GU15" s="1156">
        <v>8</v>
      </c>
      <c r="GV15" s="1156">
        <v>8</v>
      </c>
      <c r="GW15" s="1156">
        <v>8</v>
      </c>
      <c r="GX15" s="1156">
        <v>8</v>
      </c>
      <c r="GY15" s="1156">
        <v>8</v>
      </c>
      <c r="GZ15" s="1156">
        <v>8</v>
      </c>
      <c r="HA15" s="1156">
        <v>8</v>
      </c>
      <c r="HB15" s="1156">
        <v>8</v>
      </c>
      <c r="HC15" s="1156">
        <v>8</v>
      </c>
      <c r="HD15" s="1156">
        <v>8</v>
      </c>
      <c r="HE15" s="1156">
        <v>8</v>
      </c>
      <c r="HF15" s="1156">
        <v>8</v>
      </c>
      <c r="HG15" s="1156">
        <v>8</v>
      </c>
      <c r="HH15" s="1156">
        <v>8</v>
      </c>
      <c r="HI15" s="1156">
        <v>8</v>
      </c>
      <c r="HJ15" s="1156">
        <v>8</v>
      </c>
      <c r="HK15" s="1156">
        <v>8</v>
      </c>
      <c r="HL15" s="1156">
        <v>8</v>
      </c>
      <c r="HM15" s="1156">
        <v>8</v>
      </c>
      <c r="HN15" s="1156">
        <v>8</v>
      </c>
      <c r="HO15" s="1156">
        <v>8</v>
      </c>
      <c r="HP15" s="1156">
        <v>8</v>
      </c>
      <c r="HQ15" s="1156">
        <v>8</v>
      </c>
      <c r="HR15" s="1156">
        <v>8</v>
      </c>
      <c r="HS15" s="1156">
        <v>8</v>
      </c>
      <c r="HT15" s="1156">
        <v>8</v>
      </c>
      <c r="HU15" s="1156">
        <v>8</v>
      </c>
      <c r="HV15" s="1156">
        <v>8</v>
      </c>
      <c r="HW15" s="1156">
        <v>8</v>
      </c>
      <c r="HX15" s="1156">
        <v>8</v>
      </c>
      <c r="HY15" s="1156">
        <v>8</v>
      </c>
      <c r="HZ15" s="1156">
        <v>8</v>
      </c>
      <c r="IA15" s="1156">
        <v>8</v>
      </c>
      <c r="IB15" s="1156">
        <v>8</v>
      </c>
      <c r="IC15" s="1156">
        <v>8</v>
      </c>
      <c r="ID15" s="1156">
        <v>8</v>
      </c>
      <c r="IE15" s="1156">
        <v>8</v>
      </c>
      <c r="IF15" s="1156">
        <v>8</v>
      </c>
      <c r="IG15" s="1156">
        <v>8</v>
      </c>
      <c r="IH15" s="1156">
        <v>8</v>
      </c>
      <c r="II15" s="1156">
        <v>8</v>
      </c>
      <c r="IJ15" s="1156">
        <v>8</v>
      </c>
      <c r="IK15" s="1156">
        <v>8</v>
      </c>
      <c r="IL15" s="1156">
        <v>8</v>
      </c>
      <c r="IM15" s="1156">
        <v>8</v>
      </c>
      <c r="IN15" s="1156">
        <v>8</v>
      </c>
      <c r="IO15" s="1156">
        <v>8</v>
      </c>
      <c r="IP15" s="1156">
        <v>8</v>
      </c>
      <c r="IQ15" s="1156">
        <v>8</v>
      </c>
      <c r="IR15" s="1156">
        <v>8</v>
      </c>
      <c r="IS15" s="1156">
        <v>8</v>
      </c>
      <c r="IT15" s="1156">
        <v>8</v>
      </c>
      <c r="IU15" s="1156">
        <v>8</v>
      </c>
      <c r="IV15" s="1156">
        <v>8</v>
      </c>
      <c r="IW15" s="1156">
        <v>23</v>
      </c>
    </row>
  </sheetData>
  <sheetProtection formatColumns="0" formatRows="0" autoFilter="0" sort="0" insertRows="0" insertColumns="1" deleteRows="0" deleteColumns="0"/>
  <mergeCells count="10">
    <mergeCell ref="L7:L9"/>
    <mergeCell ref="E7:K7"/>
    <mergeCell ref="A10:A11"/>
    <mergeCell ref="L10:L11"/>
    <mergeCell ref="E5:K5"/>
    <mergeCell ref="F8:F9"/>
    <mergeCell ref="E8:E9"/>
    <mergeCell ref="G8:I8"/>
    <mergeCell ref="J8:J9"/>
    <mergeCell ref="K8:K9"/>
  </mergeCells>
  <dataValidations count="5">
    <dataValidation type="textLength" operator="lessThanOrEqual" allowBlank="1" showInputMessage="1" showErrorMessage="1" sqref="I10 I2">
      <formula1>990</formula1>
    </dataValidation>
    <dataValidation type="time" allowBlank="1" showInputMessage="1" showErrorMessage="1" prompt="Укажите время в формате ЧЧ:ММ" sqref="H10 H2">
      <formula1>0</formula1>
      <formula2>0.9993055555555556</formula2>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J10:K10 J2:K3">
      <formula1>900</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G2:G3 G10"/>
    <dataValidation type="textLength" allowBlank="1" showInputMessage="1" showErrorMessage="1" sqref="H3:I3">
      <formula1>13</formula1>
      <formula2>15</formula2>
    </dataValidation>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5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7D5EC3D6-0668-B3E8-F1E5-424F7EEC8248}" mc:Ignorable="x14ac xr xr2 xr3">
  <dimension ref="A1:IW15"/>
  <sheetViews>
    <sheetView showGridLines="0" zoomScale="90" workbookViewId="0">
      <pane xSplit="6" ySplit="9" topLeftCell="G10" activePane="bottomRight" state="frozen"/>
      <selection pane="bottomLeft" activeCell="A10" sqref="A10"/>
      <selection pane="topRight" activeCell="G1" sqref="G1"/>
      <selection pane="bottomRight" activeCell="A1" sqref="A1"/>
    </sheetView>
  </sheetViews>
  <sheetFormatPr defaultColWidth="9.140625" customHeight="1" defaultRowHeight="14.25"/>
  <cols>
    <col min="1" max="1" style="1636" width="9.140625" hidden="1"/>
    <col min="2" max="2" style="1367" width="9.140625" hidden="1"/>
    <col min="3" max="3" style="1636" width="3.7109375" hidden="1" customWidth="1"/>
    <col min="4" max="4" style="1843" width="3.00390625" customWidth="1"/>
    <col min="5" max="5" style="1636" width="6.00390625" customWidth="1"/>
    <col min="6" max="6" style="1636" width="27.00390625" customWidth="1"/>
    <col min="7" max="7" style="1636" width="16.00390625" customWidth="1"/>
    <col min="8" max="8" style="1636" width="12.00390625" customWidth="1"/>
    <col min="9" max="9" style="1636" width="32.00390625" customWidth="1"/>
    <col min="10" max="11" style="1636" width="41.00390625" customWidth="1"/>
    <col min="12" max="12" style="1636" width="89.00390625" customWidth="1"/>
    <col min="13" max="13" style="1625" width="3.00390625" customWidth="1"/>
    <col min="14" max="16" style="1625" width="8.00390625" customWidth="1"/>
    <col min="17" max="17" style="1625" width="25.00390625" customWidth="1"/>
    <col min="18" max="18" style="1625" width="14.00390625" customWidth="1"/>
    <col min="19" max="22" style="226" width="8.00390625" customWidth="1"/>
    <col min="23" max="256" style="1636" width="8.00390625" customWidth="1"/>
    <col min="257" max="257" style="1636" width="9.140625" hidden="1"/>
  </cols>
  <sheetData>
    <row customHeight="1" ht="22.5" hidden="1">
      <c r="IW1" s="1632" t="s">
        <v>14</v>
      </c>
    </row>
    <row s="1851" customFormat="1" customHeight="1" ht="22.5" hidden="1">
      <c r="A2" s="832"/>
      <c r="B2" s="1367">
        <v>1</v>
      </c>
      <c r="C2" s="1367"/>
      <c r="D2" s="1929" t="s">
        <v>104</v>
      </c>
      <c r="E2" s="1905"/>
      <c r="F2" s="1907" t="str">
        <f>IF(ROIV_INFO_NAME="","",ROIV_INFO_NAME)</f>
        <v>ПАО "КГК"</v>
      </c>
      <c r="G2" s="1733" t="s">
        <v>28</v>
      </c>
      <c r="H2" s="1917"/>
      <c r="I2" s="1539"/>
      <c r="J2" s="819"/>
      <c r="K2" s="819"/>
      <c r="L2" s="229"/>
      <c r="M2" s="1536">
        <f>MERGEVALUE(F2)</f>
      </c>
      <c r="N2" s="1637"/>
      <c r="O2" s="1637"/>
      <c r="P2" s="1625" t="str">
        <f t="array" ref="P2:P2">IF(ISERROR(MATCH(MID(Q2,1,250),MID(note_ter,1,250),0)),"n","y")</f>
        <v>n</v>
      </c>
      <c r="Q2" s="1637"/>
      <c r="R2" s="1625" t="str">
        <f>G2&amp;"("&amp;L2&amp;")"</f>
        <v>()</v>
      </c>
      <c r="S2" s="1367"/>
      <c r="T2" s="1367"/>
      <c r="U2" s="421"/>
      <c r="V2" s="1367"/>
      <c r="W2" s="1367"/>
      <c r="X2" s="1367"/>
      <c r="Y2" s="834"/>
      <c r="Z2" s="834"/>
      <c r="AA2" s="628"/>
      <c r="AB2" s="628"/>
      <c r="AC2" s="628"/>
      <c r="AD2" s="628"/>
      <c r="AE2" s="628"/>
      <c r="AF2" s="628"/>
      <c r="AG2" s="628"/>
      <c r="AH2" s="628"/>
      <c r="AI2" s="628"/>
      <c r="AJ2" s="628"/>
      <c r="AK2" s="628"/>
      <c r="AL2" s="628"/>
      <c r="AM2" s="628"/>
      <c r="AN2" s="628"/>
      <c r="AO2" s="628"/>
      <c r="AP2" s="628"/>
      <c r="AQ2" s="628"/>
      <c r="AR2" s="628"/>
      <c r="AS2" s="628"/>
      <c r="AT2" s="628"/>
      <c r="AU2" s="628"/>
      <c r="AV2" s="628"/>
      <c r="AW2" s="628"/>
      <c r="AX2" s="628"/>
      <c r="AY2" s="628"/>
      <c r="AZ2" s="628"/>
      <c r="BA2" s="628"/>
      <c r="BB2" s="628"/>
      <c r="BC2" s="628"/>
      <c r="BD2" s="628"/>
      <c r="BE2" s="628"/>
      <c r="BF2" s="628"/>
      <c r="BG2" s="628"/>
      <c r="BH2" s="628"/>
      <c r="BI2" s="628"/>
      <c r="BJ2" s="628"/>
      <c r="BK2" s="628"/>
      <c r="BL2" s="628"/>
      <c r="BM2" s="628"/>
      <c r="BN2" s="628"/>
      <c r="BO2" s="628"/>
      <c r="BP2" s="628"/>
      <c r="BQ2" s="628"/>
      <c r="BR2" s="628"/>
      <c r="BS2" s="628"/>
      <c r="BT2" s="628"/>
      <c r="BU2" s="628"/>
      <c r="BV2" s="834"/>
      <c r="BW2" s="834"/>
      <c r="BX2" s="834"/>
      <c r="BY2" s="834"/>
      <c r="BZ2" s="834"/>
      <c r="CA2" s="834"/>
      <c r="CB2" s="834"/>
      <c r="CC2" s="834"/>
      <c r="CD2" s="834"/>
      <c r="CE2" s="834"/>
      <c r="IW2" s="625">
        <v>0</v>
      </c>
    </row>
    <row s="1643" customFormat="1" customHeight="1" ht="5.25" hidden="1">
      <c r="A3" s="1642"/>
      <c r="D3" s="1894"/>
      <c r="F3" s="249" t="s">
        <v>84</v>
      </c>
      <c r="G3" s="1736" t="s">
        <v>85</v>
      </c>
      <c r="H3" s="1894"/>
      <c r="I3" s="1894"/>
      <c r="J3" s="1894"/>
      <c r="K3" s="1894"/>
      <c r="L3" s="228" t="s">
        <v>86</v>
      </c>
      <c r="M3" s="249" t="s">
        <v>84</v>
      </c>
      <c r="N3" s="249"/>
      <c r="O3" s="249"/>
      <c r="P3" s="249"/>
      <c r="Q3" s="249"/>
      <c r="R3" s="249"/>
      <c r="S3" s="249"/>
      <c r="T3" s="249"/>
      <c r="U3" s="249"/>
      <c r="V3" s="249"/>
      <c r="W3" s="228"/>
      <c r="X3" s="228"/>
      <c r="Y3" s="228"/>
      <c r="Z3" s="228"/>
      <c r="AA3" s="228"/>
      <c r="AB3" s="228"/>
      <c r="AC3" s="228"/>
      <c r="AD3" s="228"/>
      <c r="AE3" s="228"/>
      <c r="AF3" s="228"/>
      <c r="AG3" s="228"/>
      <c r="AH3" s="228"/>
      <c r="AI3" s="228"/>
      <c r="AJ3" s="228"/>
      <c r="AK3" s="228"/>
      <c r="AL3" s="228"/>
      <c r="AM3" s="228"/>
      <c r="AN3" s="228"/>
      <c r="AO3" s="228"/>
      <c r="AP3" s="228"/>
      <c r="AQ3" s="228"/>
      <c r="AR3" s="228"/>
      <c r="AS3" s="228"/>
      <c r="AT3" s="228"/>
      <c r="AU3" s="228"/>
      <c r="AV3" s="228"/>
      <c r="AW3" s="228"/>
      <c r="AX3" s="228"/>
      <c r="AY3" s="228"/>
      <c r="AZ3" s="228"/>
      <c r="BA3" s="228"/>
      <c r="BB3" s="228"/>
      <c r="BC3" s="228"/>
      <c r="BD3" s="228"/>
      <c r="BE3" s="228"/>
      <c r="BF3" s="228"/>
      <c r="BG3" s="228"/>
      <c r="BH3" s="228"/>
      <c r="BI3" s="228"/>
      <c r="BJ3" s="228"/>
      <c r="BK3" s="228"/>
      <c r="BL3" s="228"/>
      <c r="BM3" s="228"/>
      <c r="BN3" s="228"/>
      <c r="BO3" s="228"/>
      <c r="BP3" s="228"/>
      <c r="BQ3" s="228"/>
      <c r="BR3" s="228"/>
      <c r="BS3" s="228"/>
      <c r="BT3" s="228"/>
      <c r="BU3" s="228"/>
      <c r="BV3" s="228"/>
      <c r="BW3" s="228"/>
      <c r="BX3" s="228"/>
      <c r="BY3" s="228"/>
      <c r="BZ3" s="228"/>
      <c r="CA3" s="228"/>
      <c r="CB3" s="228"/>
      <c r="CC3" s="228"/>
      <c r="CD3" s="228"/>
      <c r="CE3" s="228"/>
      <c r="CF3" s="228"/>
      <c r="CG3" s="228"/>
      <c r="CH3" s="228"/>
      <c r="CI3" s="228"/>
      <c r="CJ3" s="228"/>
      <c r="CK3" s="228"/>
      <c r="CL3" s="228"/>
      <c r="CM3" s="228"/>
      <c r="CN3" s="228"/>
      <c r="CO3" s="228"/>
      <c r="CP3" s="228"/>
      <c r="CQ3" s="228"/>
      <c r="CR3" s="228"/>
      <c r="CS3" s="228"/>
      <c r="CT3" s="228"/>
      <c r="CU3" s="228"/>
      <c r="CV3" s="228"/>
      <c r="CW3" s="228"/>
      <c r="CX3" s="228"/>
      <c r="CY3" s="228"/>
      <c r="CZ3" s="228"/>
      <c r="DA3" s="228"/>
      <c r="DB3" s="228"/>
      <c r="DC3" s="228"/>
      <c r="DD3" s="228"/>
      <c r="DE3" s="228"/>
      <c r="DF3" s="228"/>
      <c r="DG3" s="228"/>
      <c r="DH3" s="228"/>
      <c r="DI3" s="228"/>
      <c r="DJ3" s="228"/>
      <c r="DK3" s="228"/>
      <c r="DL3" s="228"/>
      <c r="DM3" s="228"/>
      <c r="DN3" s="228"/>
      <c r="DO3" s="228"/>
      <c r="DP3" s="228"/>
      <c r="DQ3" s="228"/>
      <c r="DR3" s="228"/>
      <c r="DS3" s="228"/>
      <c r="DT3" s="228"/>
      <c r="DU3" s="228"/>
      <c r="DV3" s="228"/>
      <c r="DW3" s="228"/>
      <c r="DX3" s="228"/>
      <c r="DY3" s="228"/>
      <c r="DZ3" s="228"/>
      <c r="EA3" s="228"/>
      <c r="EB3" s="228"/>
      <c r="EC3" s="228"/>
      <c r="ED3" s="228"/>
      <c r="EE3" s="228"/>
      <c r="EF3" s="228"/>
      <c r="EG3" s="228"/>
      <c r="EH3" s="228"/>
      <c r="EI3" s="228"/>
      <c r="EJ3" s="228"/>
      <c r="EK3" s="228"/>
      <c r="EL3" s="228"/>
      <c r="EM3" s="228"/>
      <c r="EN3" s="228"/>
      <c r="EO3" s="228"/>
      <c r="EP3" s="228"/>
      <c r="EQ3" s="228"/>
      <c r="ER3" s="228"/>
      <c r="ES3" s="228"/>
      <c r="ET3" s="228"/>
      <c r="EU3" s="228"/>
      <c r="EV3" s="228"/>
      <c r="EW3" s="228"/>
      <c r="EX3" s="228"/>
      <c r="EY3" s="228"/>
      <c r="EZ3" s="228"/>
      <c r="FA3" s="228"/>
      <c r="FB3" s="228"/>
      <c r="FC3" s="228"/>
      <c r="FD3" s="228"/>
      <c r="FE3" s="228"/>
      <c r="FF3" s="228"/>
      <c r="FG3" s="228"/>
      <c r="FH3" s="228"/>
      <c r="FI3" s="228"/>
      <c r="FJ3" s="228"/>
      <c r="FK3" s="228"/>
      <c r="FL3" s="228"/>
      <c r="FM3" s="228"/>
      <c r="FN3" s="228"/>
      <c r="FO3" s="228"/>
      <c r="FP3" s="228"/>
      <c r="FQ3" s="228"/>
      <c r="FR3" s="228"/>
      <c r="FS3" s="228"/>
      <c r="FT3" s="228"/>
      <c r="FU3" s="228"/>
      <c r="FV3" s="228"/>
      <c r="FW3" s="228"/>
      <c r="FX3" s="228"/>
      <c r="FY3" s="228"/>
      <c r="FZ3" s="228"/>
      <c r="GA3" s="228"/>
      <c r="GB3" s="228"/>
      <c r="GC3" s="228"/>
      <c r="GD3" s="228"/>
      <c r="GE3" s="228"/>
      <c r="GF3" s="228"/>
      <c r="GG3" s="228"/>
      <c r="GH3" s="228"/>
      <c r="GI3" s="228"/>
      <c r="GJ3" s="228"/>
      <c r="GK3" s="228"/>
      <c r="GL3" s="228"/>
      <c r="GM3" s="228"/>
      <c r="GN3" s="228"/>
      <c r="GO3" s="228"/>
      <c r="GP3" s="228"/>
      <c r="GQ3" s="228"/>
      <c r="GR3" s="228"/>
      <c r="GS3" s="228"/>
      <c r="GT3" s="228"/>
      <c r="GU3" s="228"/>
      <c r="GV3" s="228"/>
      <c r="GW3" s="228"/>
      <c r="GX3" s="228"/>
      <c r="GY3" s="228"/>
      <c r="GZ3" s="228"/>
      <c r="HA3" s="228"/>
      <c r="HB3" s="228"/>
      <c r="HC3" s="228"/>
      <c r="HD3" s="228"/>
      <c r="HE3" s="228"/>
      <c r="HF3" s="228"/>
      <c r="HG3" s="228"/>
      <c r="HH3" s="228"/>
      <c r="HI3" s="228"/>
      <c r="HJ3" s="228"/>
      <c r="HK3" s="228"/>
      <c r="HL3" s="228"/>
      <c r="HM3" s="228"/>
      <c r="HN3" s="228"/>
      <c r="HO3" s="228"/>
      <c r="HP3" s="228"/>
      <c r="HQ3" s="228"/>
      <c r="HR3" s="228"/>
      <c r="HS3" s="228"/>
      <c r="HT3" s="228"/>
      <c r="HU3" s="228"/>
      <c r="HV3" s="228"/>
      <c r="HW3" s="228"/>
      <c r="HX3" s="228"/>
      <c r="HY3" s="228"/>
      <c r="HZ3" s="228"/>
      <c r="IA3" s="228"/>
      <c r="IB3" s="228"/>
      <c r="IC3" s="228"/>
      <c r="ID3" s="228"/>
      <c r="IE3" s="228"/>
      <c r="IF3" s="228"/>
      <c r="IG3" s="228"/>
      <c r="IH3" s="228"/>
      <c r="II3" s="228"/>
      <c r="IJ3" s="228"/>
      <c r="IK3" s="228"/>
      <c r="IL3" s="228"/>
      <c r="IM3" s="228"/>
      <c r="IN3" s="228"/>
      <c r="IO3" s="228"/>
      <c r="IP3" s="228"/>
      <c r="IQ3" s="228"/>
      <c r="IR3" s="228"/>
      <c r="IS3" s="228"/>
      <c r="IT3" s="228"/>
      <c r="IU3" s="228"/>
      <c r="IV3" s="228"/>
      <c r="IW3" s="1637">
        <v>0</v>
      </c>
    </row>
    <row s="1820" customFormat="1" customHeight="1" ht="14.699999999999998">
      <c r="A4" s="1632"/>
      <c r="B4" s="1367"/>
      <c r="C4" s="1632"/>
      <c r="D4" s="1516"/>
      <c r="E4" s="1636"/>
      <c r="F4" s="1636"/>
      <c r="G4" s="1636"/>
      <c r="H4" s="1636"/>
      <c r="I4" s="1636"/>
      <c r="J4" s="1636"/>
      <c r="K4" s="1636"/>
      <c r="L4" s="1896"/>
      <c r="M4" s="249"/>
      <c r="N4" s="1625"/>
      <c r="O4" s="1625"/>
      <c r="P4" s="1625"/>
      <c r="Q4" s="1625"/>
      <c r="R4" s="1625"/>
      <c r="S4" s="226"/>
      <c r="T4" s="226"/>
      <c r="U4" s="226"/>
      <c r="V4" s="226"/>
      <c r="IW4" s="1610">
        <v>14</v>
      </c>
    </row>
    <row s="1820" customFormat="1" customHeight="1" ht="27.299999999999997">
      <c r="A5" s="1632"/>
      <c r="B5" s="1367"/>
      <c r="C5" s="1632"/>
      <c r="D5" s="1516"/>
      <c r="E5" s="2101" t="str">
        <f>"Форма "&amp;IF(TEMPLATE_SPHERE="HEAT","4","3")&amp;". Информация о рассмотрении дел об установлении "&amp;IF(TEMPLATE_SPHERE="TKO","предельных тарифов","тарифов в сфере "&amp;TEMPLATE_SPHERE_RUS)</f>
        <v>Форма 4. Информация о рассмотрении дел об установлении тарифов в сфере теплоснабжения</v>
      </c>
      <c r="F5" s="2101"/>
      <c r="G5" s="2101"/>
      <c r="H5" s="2101"/>
      <c r="I5" s="2101"/>
      <c r="J5" s="2101"/>
      <c r="K5" s="2101"/>
      <c r="L5" s="1636"/>
      <c r="M5" s="249"/>
      <c r="N5" s="1625"/>
      <c r="O5" s="1625"/>
      <c r="P5" s="1625"/>
      <c r="Q5" s="1625"/>
      <c r="R5" s="1625"/>
      <c r="S5" s="226"/>
      <c r="T5" s="226"/>
      <c r="U5" s="226"/>
      <c r="V5" s="226"/>
      <c r="IW5" s="1610">
        <v>26</v>
      </c>
    </row>
    <row s="1820" customFormat="1" customHeight="1" ht="14.699999999999998">
      <c r="A6" s="1632"/>
      <c r="B6" s="1367"/>
      <c r="C6" s="1632"/>
      <c r="D6" s="1516"/>
      <c r="E6" s="1636"/>
      <c r="F6" s="617"/>
      <c r="G6" s="617"/>
      <c r="H6" s="617"/>
      <c r="I6" s="617"/>
      <c r="J6" s="617"/>
      <c r="K6" s="617"/>
      <c r="L6" s="1253"/>
      <c r="M6" s="1625"/>
      <c r="N6" s="1625"/>
      <c r="O6" s="1625"/>
      <c r="P6" s="1625"/>
      <c r="Q6" s="1625"/>
      <c r="R6" s="1625"/>
      <c r="S6" s="226"/>
      <c r="T6" s="226"/>
      <c r="U6" s="226"/>
      <c r="V6" s="226"/>
      <c r="IW6" s="1610">
        <v>14</v>
      </c>
    </row>
    <row s="1820" customFormat="1" customHeight="1" ht="14.699999999999998">
      <c r="A7" s="1632"/>
      <c r="B7" s="1367"/>
      <c r="C7" s="1632"/>
      <c r="D7" s="1516"/>
      <c r="E7" s="2102" t="s">
        <v>317</v>
      </c>
      <c r="F7" s="2103"/>
      <c r="G7" s="2103"/>
      <c r="H7" s="2103"/>
      <c r="I7" s="2103"/>
      <c r="J7" s="2103"/>
      <c r="K7" s="2103"/>
      <c r="L7" s="2475" t="s">
        <v>318</v>
      </c>
      <c r="M7" s="1625"/>
      <c r="N7" s="1625"/>
      <c r="O7" s="1625"/>
      <c r="P7" s="1625"/>
      <c r="Q7" s="1625"/>
      <c r="R7" s="1625"/>
      <c r="S7" s="226"/>
      <c r="T7" s="226"/>
      <c r="U7" s="226"/>
      <c r="V7" s="226"/>
      <c r="IW7" s="1610">
        <v>14</v>
      </c>
    </row>
    <row s="1820" customFormat="1" customHeight="1" ht="67.2">
      <c r="A8" s="1632"/>
      <c r="B8" s="1367"/>
      <c r="C8" s="1632"/>
      <c r="D8" s="1516"/>
      <c r="E8" s="2479" t="s">
        <v>89</v>
      </c>
      <c r="F8" s="2479" t="s">
        <v>1893</v>
      </c>
      <c r="G8" s="2481" t="s">
        <v>1894</v>
      </c>
      <c r="H8" s="2482"/>
      <c r="I8" s="2483"/>
      <c r="J8" s="2479" t="s">
        <v>1895</v>
      </c>
      <c r="K8" s="2479" t="str">
        <f>"Протокол заседания правления (коллегии) "&amp;IF(TEMPLATE_SPHERE="TKO","регионального органа регулирования (органа местного самоуправления)","органа "&amp;IF(TEMPLATE_SPHERE="HEAT","тарифного регулирования","регулирования тарифов"))&amp;", оформленный в соответствии "&amp;IF(TEMPLATE_SPHERE="HEAT","с законодательством Российской Федерации",IF(TEMPLATE_SPHERE="TKO","с требованиями, установленными Правилами регулирования тарифов в сфере обращения с твердыми коммунальными отходами, утвержденными постановлением Правительства Российской Федерации от 30 мая 2016 г. N 484","с требованиями, установленными Правилами регулирования тарифов в сфере водоснабжения и водоотведения, утвержденными постановлением Правительства Российской Федерации от 13 мая 2013 г. № 406"))</f>
        <v>Протокол заседания правления (коллегии) органа тарифного регулирования, оформленный в соответствии с законодательством Российской Федерации</v>
      </c>
      <c r="L8" s="2477"/>
      <c r="M8" s="1625"/>
      <c r="N8" s="1625"/>
      <c r="O8" s="1625"/>
      <c r="P8" s="1625"/>
      <c r="Q8" s="1625"/>
      <c r="R8" s="1625"/>
      <c r="S8" s="226"/>
      <c r="T8" s="226"/>
      <c r="U8" s="226"/>
      <c r="V8" s="226"/>
      <c r="IW8" s="1610">
        <v>64</v>
      </c>
    </row>
    <row s="1820" customFormat="1" customHeight="1" ht="29.25">
      <c r="A9" s="1632"/>
      <c r="B9" s="1367"/>
      <c r="C9" s="1632"/>
      <c r="D9" s="1516"/>
      <c r="E9" s="2480"/>
      <c r="F9" s="2480"/>
      <c r="G9" s="1895" t="s">
        <v>1889</v>
      </c>
      <c r="H9" s="1895" t="s">
        <v>1890</v>
      </c>
      <c r="I9" s="1895" t="s">
        <v>1891</v>
      </c>
      <c r="J9" s="2480"/>
      <c r="K9" s="2480"/>
      <c r="L9" s="2476"/>
      <c r="M9" s="1625"/>
      <c r="N9" s="1625"/>
      <c r="O9" s="1625"/>
      <c r="P9" s="1625"/>
      <c r="Q9" s="1625"/>
      <c r="R9" s="1625"/>
      <c r="S9" s="226"/>
      <c r="T9" s="226"/>
      <c r="U9" s="226"/>
      <c r="V9" s="226"/>
      <c r="IW9" s="1610">
        <v>28</v>
      </c>
    </row>
    <row s="1851" customFormat="1" customHeight="1" ht="1.05">
      <c r="A10" s="2100"/>
      <c r="B10" s="1367">
        <v>1</v>
      </c>
      <c r="C10" s="1367"/>
      <c r="D10" s="801"/>
      <c r="E10" s="796">
        <v>0</v>
      </c>
      <c r="F10" s="1892" t="str">
        <f>IF(ROIV_INFO_NAME="","",ROIV_INFO_NAME)</f>
        <v>ПАО "КГК"</v>
      </c>
      <c r="G10" s="1734" t="s">
        <v>28</v>
      </c>
      <c r="H10" s="1904"/>
      <c r="I10" s="1904"/>
      <c r="J10" s="520"/>
      <c r="K10" s="520"/>
      <c r="L10" s="2433" t="str">
        <f>"В поле «"&amp;F8&amp;"» указывается наименование в соответствии с нормативным правовым актом, на основании которого региональный орган регулирования (орган местного самоуправления) образован."&amp;"
В поле «дата» указывается дата в виде «ДД.ММ.ГГГГ».
В поле «место» указывается адрес места проведения заседания (коллегии).
В полях «"&amp;MID(J8,1,40)&amp;"… » и «"&amp;MID(K8,1,40)&amp;"…» указываются ссылка на документ, предварительно загруженный в хранилище файлов ФГИС ЕИАС."</f>
        <v>В поле «Наименование органа тарифного регулирования» указывается наименование в соответствии с нормативным правовым актом, на основании которого региональный орган регулирования (орган местного самоуправления) образован.
В поле «дата» указывается дата в виде «ДД.ММ.ГГГГ».
В поле «место» указывается адрес места проведения заседания (коллегии).
В полях «Принятые органом тарифного регулирования… » и «Протокол заседания правления (коллегии) …» указываются ссылка на документ, предварительно загруженный в хранилище файлов ФГИС ЕИАС.</v>
      </c>
      <c r="M10" s="1536">
        <f>MERGEVALUE(F10)</f>
      </c>
      <c r="N10" s="1637"/>
      <c r="O10" s="1637"/>
      <c r="P10" s="1625" t="str">
        <f t="array" ref="P10:P10">IF(ISERROR(MATCH(MID(Q10,1,250),MID(note_ter,1,250),0)),"n","y")</f>
        <v>n</v>
      </c>
      <c r="Q10" s="1637"/>
      <c r="R10" s="1625" t="str">
        <f>G10&amp;"("&amp;L10&amp;")"</f>
        <v>(В поле «Наименование органа тарифного регулирования» указывается наименование в соответствии с нормативным правовым актом, на основании которого региональный орган регулирования (орган местного самоуправления) образован.
В поле «дата» указывается дата в виде «ДД.ММ.ГГГГ».
В поле «место» указывается адрес места проведения заседания (коллегии).
В полях «Принятые органом тарифного регулирования… » и «Протокол заседания правления (коллегии) …» указываются ссылка на документ, предварительно загруженный в хранилище файлов ФГИС ЕИАС.)</v>
      </c>
      <c r="S10" s="1367"/>
      <c r="T10" s="1367"/>
      <c r="U10" s="421"/>
      <c r="V10" s="1367"/>
      <c r="W10" s="1367"/>
      <c r="X10" s="1367"/>
      <c r="Y10" s="834"/>
      <c r="Z10" s="834"/>
      <c r="AA10" s="628"/>
      <c r="AB10" s="628"/>
      <c r="AC10" s="628"/>
      <c r="AD10" s="628"/>
      <c r="AE10" s="628"/>
      <c r="AF10" s="628"/>
      <c r="AG10" s="628"/>
      <c r="AH10" s="628"/>
      <c r="AI10" s="628"/>
      <c r="AJ10" s="628"/>
      <c r="AK10" s="628"/>
      <c r="AL10" s="628"/>
      <c r="AM10" s="628"/>
      <c r="AN10" s="628"/>
      <c r="AO10" s="628"/>
      <c r="AP10" s="628"/>
      <c r="AQ10" s="628"/>
      <c r="AR10" s="628"/>
      <c r="AS10" s="628"/>
      <c r="AT10" s="628"/>
      <c r="AU10" s="628"/>
      <c r="AV10" s="628"/>
      <c r="AW10" s="628"/>
      <c r="AX10" s="628"/>
      <c r="AY10" s="628"/>
      <c r="AZ10" s="628"/>
      <c r="BA10" s="628"/>
      <c r="BB10" s="628"/>
      <c r="BC10" s="628"/>
      <c r="BD10" s="628"/>
      <c r="BE10" s="628"/>
      <c r="BF10" s="628"/>
      <c r="BG10" s="628"/>
      <c r="BH10" s="628"/>
      <c r="BI10" s="628"/>
      <c r="BJ10" s="628"/>
      <c r="BK10" s="628"/>
      <c r="BL10" s="628"/>
      <c r="BM10" s="628"/>
      <c r="BN10" s="628"/>
      <c r="BO10" s="628"/>
      <c r="BP10" s="628"/>
      <c r="BQ10" s="628"/>
      <c r="BR10" s="628"/>
      <c r="BS10" s="628"/>
      <c r="BT10" s="628"/>
      <c r="BU10" s="628"/>
      <c r="BV10" s="834"/>
      <c r="BW10" s="834"/>
      <c r="BX10" s="834"/>
      <c r="BY10" s="834"/>
      <c r="BZ10" s="834"/>
      <c r="CA10" s="834"/>
      <c r="CB10" s="834"/>
      <c r="CC10" s="834"/>
      <c r="CD10" s="834"/>
      <c r="CE10" s="834"/>
      <c r="IW10" s="625">
        <v>1</v>
      </c>
    </row>
    <row s="1851" customFormat="1" customHeight="1" ht="15.75">
      <c r="A11" s="2100"/>
      <c r="B11" s="1367"/>
      <c r="C11" s="413"/>
      <c r="D11" s="802"/>
      <c r="E11" s="422"/>
      <c r="F11" s="652" t="s">
        <v>1892</v>
      </c>
      <c r="G11" s="188"/>
      <c r="H11" s="188"/>
      <c r="I11" s="188"/>
      <c r="J11" s="188"/>
      <c r="K11" s="425"/>
      <c r="L11" s="2478"/>
      <c r="M11" s="1537"/>
      <c r="N11" s="1637"/>
      <c r="O11" s="1637"/>
      <c r="P11" s="1637"/>
      <c r="Q11" s="1625"/>
      <c r="R11" s="1637"/>
      <c r="S11" s="1367"/>
      <c r="T11" s="1367"/>
      <c r="U11" s="421"/>
      <c r="V11" s="1367"/>
      <c r="W11" s="1367"/>
      <c r="X11" s="1367"/>
      <c r="Y11" s="834"/>
      <c r="Z11" s="834"/>
      <c r="AA11" s="628"/>
      <c r="AB11" s="628"/>
      <c r="AC11" s="628"/>
      <c r="AD11" s="628"/>
      <c r="AE11" s="628"/>
      <c r="AF11" s="628"/>
      <c r="AG11" s="628"/>
      <c r="AH11" s="628"/>
      <c r="AI11" s="628"/>
      <c r="AJ11" s="628"/>
      <c r="AK11" s="628"/>
      <c r="AL11" s="628"/>
      <c r="AM11" s="628"/>
      <c r="AN11" s="628"/>
      <c r="AO11" s="628"/>
      <c r="AP11" s="628"/>
      <c r="AQ11" s="628"/>
      <c r="AR11" s="628"/>
      <c r="AS11" s="628"/>
      <c r="AT11" s="628"/>
      <c r="AU11" s="628"/>
      <c r="AV11" s="628"/>
      <c r="AW11" s="628"/>
      <c r="AX11" s="628"/>
      <c r="AY11" s="628"/>
      <c r="AZ11" s="628"/>
      <c r="BA11" s="628"/>
      <c r="BB11" s="628"/>
      <c r="BC11" s="628"/>
      <c r="BD11" s="628"/>
      <c r="BE11" s="628"/>
      <c r="BF11" s="628"/>
      <c r="BG11" s="628"/>
      <c r="BH11" s="628"/>
      <c r="BI11" s="628"/>
      <c r="BJ11" s="628"/>
      <c r="BK11" s="628"/>
      <c r="BL11" s="628"/>
      <c r="BM11" s="628"/>
      <c r="BN11" s="628"/>
      <c r="BO11" s="628"/>
      <c r="BP11" s="628"/>
      <c r="BQ11" s="628"/>
      <c r="BR11" s="628"/>
      <c r="BS11" s="628"/>
      <c r="BT11" s="628"/>
      <c r="BU11" s="628"/>
      <c r="BV11" s="834"/>
      <c r="BW11" s="834"/>
      <c r="BX11" s="834"/>
      <c r="BY11" s="834"/>
      <c r="BZ11" s="834"/>
      <c r="CA11" s="834"/>
      <c r="CB11" s="834"/>
      <c r="CC11" s="834"/>
      <c r="CD11" s="834"/>
      <c r="CE11" s="834"/>
      <c r="IW11" s="625">
        <v>15</v>
      </c>
    </row>
    <row s="1820" customFormat="1" customHeight="1" ht="22.049999999999997">
      <c r="A12" s="1632"/>
      <c r="B12" s="1367"/>
      <c r="C12" s="1632"/>
      <c r="D12" s="1634"/>
      <c r="E12" s="181"/>
      <c r="F12" s="181"/>
      <c r="G12" s="181"/>
      <c r="H12" s="181"/>
      <c r="I12" s="181"/>
      <c r="J12" s="181"/>
      <c r="K12" s="181"/>
      <c r="L12" s="181"/>
      <c r="M12" s="1625"/>
      <c r="N12" s="1625"/>
      <c r="O12" s="1625"/>
      <c r="P12" s="1625"/>
      <c r="Q12" s="1625"/>
      <c r="R12" s="1625"/>
      <c r="S12" s="226"/>
      <c r="T12" s="226"/>
      <c r="U12" s="226"/>
      <c r="V12" s="226"/>
      <c r="IW12" s="1610">
        <v>21</v>
      </c>
    </row>
    <row s="1820" customFormat="1" customHeight="1" ht="14.699999999999998">
      <c r="A13" s="1632"/>
      <c r="B13" s="1367"/>
      <c r="C13" s="1632"/>
      <c r="D13" s="1634"/>
      <c r="E13" s="1632"/>
      <c r="F13" s="1632"/>
      <c r="G13" s="1632"/>
      <c r="H13" s="1632"/>
      <c r="I13" s="1632"/>
      <c r="J13" s="1632"/>
      <c r="K13" s="1632"/>
      <c r="L13" s="1632"/>
      <c r="M13" s="1625"/>
      <c r="N13" s="1625"/>
      <c r="O13" s="1625"/>
      <c r="P13" s="1625"/>
      <c r="Q13" s="1625"/>
      <c r="R13" s="1625"/>
      <c r="S13" s="226"/>
      <c r="T13" s="226"/>
      <c r="U13" s="226"/>
      <c r="V13" s="226"/>
      <c r="IW13" s="1610">
        <v>14</v>
      </c>
    </row>
    <row s="1820" customFormat="1" customHeight="1" ht="1.05">
      <c r="A14" s="1632"/>
      <c r="B14" s="1367"/>
      <c r="C14" s="1632"/>
      <c r="D14" s="1634"/>
      <c r="E14" s="1632"/>
      <c r="F14" s="1632"/>
      <c r="G14" s="1632"/>
      <c r="H14" s="1632"/>
      <c r="I14" s="1632"/>
      <c r="J14" s="1632"/>
      <c r="K14" s="1632"/>
      <c r="L14" s="1632"/>
      <c r="M14" s="1625"/>
      <c r="N14" s="1625"/>
      <c r="O14" s="1625"/>
      <c r="P14" s="1625"/>
      <c r="Q14" s="1625"/>
      <c r="R14" s="1625"/>
      <c r="S14" s="226"/>
      <c r="T14" s="226"/>
      <c r="U14" s="226"/>
      <c r="V14" s="226"/>
      <c r="IW14" s="1610">
        <v>1</v>
      </c>
    </row>
    <row customHeight="1" ht="22.5" hidden="1">
      <c r="A15" s="1632" t="s">
        <v>83</v>
      </c>
      <c r="B15" s="1367">
        <v>0</v>
      </c>
      <c r="C15" s="1632">
        <v>0</v>
      </c>
      <c r="D15" s="1634">
        <v>3</v>
      </c>
      <c r="E15" s="1632">
        <v>6</v>
      </c>
      <c r="F15" s="1632">
        <v>27</v>
      </c>
      <c r="G15" s="1632">
        <v>16</v>
      </c>
      <c r="H15" s="1632">
        <v>12</v>
      </c>
      <c r="I15" s="1632">
        <v>32</v>
      </c>
      <c r="J15" s="1632">
        <v>41</v>
      </c>
      <c r="K15" s="1632">
        <v>41</v>
      </c>
      <c r="L15" s="1632">
        <v>89</v>
      </c>
      <c r="M15" s="1625">
        <v>3</v>
      </c>
      <c r="N15" s="1625">
        <v>8</v>
      </c>
      <c r="O15" s="1625">
        <v>8</v>
      </c>
      <c r="P15" s="1625">
        <v>8</v>
      </c>
      <c r="Q15" s="1625">
        <v>25</v>
      </c>
      <c r="R15" s="1625">
        <v>14</v>
      </c>
      <c r="S15" s="226">
        <v>8</v>
      </c>
      <c r="T15" s="226">
        <v>8</v>
      </c>
      <c r="U15" s="226">
        <v>8</v>
      </c>
      <c r="V15" s="226">
        <v>8</v>
      </c>
      <c r="W15" s="1632">
        <v>8</v>
      </c>
      <c r="X15" s="1632">
        <v>8</v>
      </c>
      <c r="Y15" s="1632">
        <v>8</v>
      </c>
      <c r="Z15" s="1632">
        <v>8</v>
      </c>
      <c r="AA15" s="1632">
        <v>8</v>
      </c>
      <c r="AB15" s="1632">
        <v>8</v>
      </c>
      <c r="AC15" s="1632">
        <v>8</v>
      </c>
      <c r="AD15" s="1632">
        <v>8</v>
      </c>
      <c r="AE15" s="1632">
        <v>8</v>
      </c>
      <c r="AF15" s="1632">
        <v>8</v>
      </c>
      <c r="AG15" s="1632">
        <v>8</v>
      </c>
      <c r="AH15" s="1632">
        <v>8</v>
      </c>
      <c r="AI15" s="1632">
        <v>8</v>
      </c>
      <c r="AJ15" s="1632">
        <v>8</v>
      </c>
      <c r="AK15" s="1632">
        <v>8</v>
      </c>
      <c r="AL15" s="1632">
        <v>8</v>
      </c>
      <c r="AM15" s="1632">
        <v>8</v>
      </c>
      <c r="AN15" s="1632">
        <v>8</v>
      </c>
      <c r="AO15" s="1632">
        <v>8</v>
      </c>
      <c r="AP15" s="1632">
        <v>8</v>
      </c>
      <c r="AQ15" s="1632">
        <v>8</v>
      </c>
      <c r="AR15" s="1632">
        <v>8</v>
      </c>
      <c r="AS15" s="1632">
        <v>8</v>
      </c>
      <c r="AT15" s="1632">
        <v>8</v>
      </c>
      <c r="AU15" s="1632">
        <v>8</v>
      </c>
      <c r="AV15" s="1632">
        <v>8</v>
      </c>
      <c r="AW15" s="1632">
        <v>8</v>
      </c>
      <c r="AX15" s="1632">
        <v>8</v>
      </c>
      <c r="AY15" s="1632">
        <v>8</v>
      </c>
      <c r="AZ15" s="1632">
        <v>8</v>
      </c>
      <c r="BA15" s="1632">
        <v>8</v>
      </c>
      <c r="BB15" s="1632">
        <v>8</v>
      </c>
      <c r="BC15" s="1632">
        <v>8</v>
      </c>
      <c r="BD15" s="1632">
        <v>8</v>
      </c>
      <c r="BE15" s="1632">
        <v>8</v>
      </c>
      <c r="BF15" s="1632">
        <v>8</v>
      </c>
      <c r="BG15" s="1632">
        <v>8</v>
      </c>
      <c r="BH15" s="1632">
        <v>8</v>
      </c>
      <c r="BI15" s="1632">
        <v>8</v>
      </c>
      <c r="BJ15" s="1632">
        <v>8</v>
      </c>
      <c r="BK15" s="1632">
        <v>8</v>
      </c>
      <c r="BL15" s="1632">
        <v>8</v>
      </c>
      <c r="BM15" s="1632">
        <v>8</v>
      </c>
      <c r="BN15" s="1632">
        <v>8</v>
      </c>
      <c r="BO15" s="1632">
        <v>8</v>
      </c>
      <c r="BP15" s="1632">
        <v>8</v>
      </c>
      <c r="BQ15" s="1632">
        <v>8</v>
      </c>
      <c r="BR15" s="1632">
        <v>8</v>
      </c>
      <c r="BS15" s="1632">
        <v>8</v>
      </c>
      <c r="BT15" s="1632">
        <v>8</v>
      </c>
      <c r="BU15" s="1632">
        <v>8</v>
      </c>
      <c r="BV15" s="1632">
        <v>8</v>
      </c>
      <c r="BW15" s="1632">
        <v>8</v>
      </c>
      <c r="BX15" s="1632">
        <v>8</v>
      </c>
      <c r="BY15" s="1632">
        <v>8</v>
      </c>
      <c r="BZ15" s="1632">
        <v>8</v>
      </c>
      <c r="CA15" s="1632">
        <v>8</v>
      </c>
      <c r="CB15" s="1632">
        <v>8</v>
      </c>
      <c r="CC15" s="1632">
        <v>8</v>
      </c>
      <c r="CD15" s="1632">
        <v>8</v>
      </c>
      <c r="CE15" s="1632">
        <v>8</v>
      </c>
      <c r="CF15" s="1632">
        <v>8</v>
      </c>
      <c r="CG15" s="1632">
        <v>8</v>
      </c>
      <c r="CH15" s="1632">
        <v>8</v>
      </c>
      <c r="CI15" s="1632">
        <v>8</v>
      </c>
      <c r="CJ15" s="1632">
        <v>8</v>
      </c>
      <c r="CK15" s="1632">
        <v>8</v>
      </c>
      <c r="CL15" s="1632">
        <v>8</v>
      </c>
      <c r="CM15" s="1632">
        <v>8</v>
      </c>
      <c r="CN15" s="1632">
        <v>8</v>
      </c>
      <c r="CO15" s="1632">
        <v>8</v>
      </c>
      <c r="CP15" s="1632">
        <v>8</v>
      </c>
      <c r="CQ15" s="1632">
        <v>8</v>
      </c>
      <c r="CR15" s="1632">
        <v>8</v>
      </c>
      <c r="CS15" s="1632">
        <v>8</v>
      </c>
      <c r="CT15" s="1632">
        <v>8</v>
      </c>
      <c r="CU15" s="1632">
        <v>8</v>
      </c>
      <c r="CV15" s="1632">
        <v>8</v>
      </c>
      <c r="CW15" s="1632">
        <v>8</v>
      </c>
      <c r="CX15" s="1632">
        <v>8</v>
      </c>
      <c r="CY15" s="1632">
        <v>8</v>
      </c>
      <c r="CZ15" s="1632">
        <v>8</v>
      </c>
      <c r="DA15" s="1632">
        <v>8</v>
      </c>
      <c r="DB15" s="1632">
        <v>8</v>
      </c>
      <c r="DC15" s="1632">
        <v>8</v>
      </c>
      <c r="DD15" s="1632">
        <v>8</v>
      </c>
      <c r="DE15" s="1632">
        <v>8</v>
      </c>
      <c r="DF15" s="1632">
        <v>8</v>
      </c>
      <c r="DG15" s="1632">
        <v>8</v>
      </c>
      <c r="DH15" s="1632">
        <v>8</v>
      </c>
      <c r="DI15" s="1632">
        <v>8</v>
      </c>
      <c r="DJ15" s="1632">
        <v>8</v>
      </c>
      <c r="DK15" s="1632">
        <v>8</v>
      </c>
      <c r="DL15" s="1632">
        <v>8</v>
      </c>
      <c r="DM15" s="1632">
        <v>8</v>
      </c>
      <c r="DN15" s="1632">
        <v>8</v>
      </c>
      <c r="DO15" s="1632">
        <v>8</v>
      </c>
      <c r="DP15" s="1632">
        <v>8</v>
      </c>
      <c r="DQ15" s="1632">
        <v>8</v>
      </c>
      <c r="DR15" s="1632">
        <v>8</v>
      </c>
      <c r="DS15" s="1632">
        <v>8</v>
      </c>
      <c r="DT15" s="1632">
        <v>8</v>
      </c>
      <c r="DU15" s="1632">
        <v>8</v>
      </c>
      <c r="DV15" s="1632">
        <v>8</v>
      </c>
      <c r="DW15" s="1632">
        <v>8</v>
      </c>
      <c r="DX15" s="1632">
        <v>8</v>
      </c>
      <c r="DY15" s="1632">
        <v>8</v>
      </c>
      <c r="DZ15" s="1632">
        <v>8</v>
      </c>
      <c r="EA15" s="1632">
        <v>8</v>
      </c>
      <c r="EB15" s="1632">
        <v>8</v>
      </c>
      <c r="EC15" s="1632">
        <v>8</v>
      </c>
      <c r="ED15" s="1632">
        <v>8</v>
      </c>
      <c r="EE15" s="1632">
        <v>8</v>
      </c>
      <c r="EF15" s="1632">
        <v>8</v>
      </c>
      <c r="EG15" s="1632">
        <v>8</v>
      </c>
      <c r="EH15" s="1632">
        <v>8</v>
      </c>
      <c r="EI15" s="1632">
        <v>8</v>
      </c>
      <c r="EJ15" s="1632">
        <v>8</v>
      </c>
      <c r="EK15" s="1632">
        <v>8</v>
      </c>
      <c r="EL15" s="1632">
        <v>8</v>
      </c>
      <c r="EM15" s="1632">
        <v>8</v>
      </c>
      <c r="EN15" s="1632">
        <v>8</v>
      </c>
      <c r="EO15" s="1632">
        <v>8</v>
      </c>
      <c r="EP15" s="1632">
        <v>8</v>
      </c>
      <c r="EQ15" s="1632">
        <v>8</v>
      </c>
      <c r="ER15" s="1632">
        <v>8</v>
      </c>
      <c r="ES15" s="1632">
        <v>8</v>
      </c>
      <c r="ET15" s="1632">
        <v>8</v>
      </c>
      <c r="EU15" s="1632">
        <v>8</v>
      </c>
      <c r="EV15" s="1632">
        <v>8</v>
      </c>
      <c r="EW15" s="1632">
        <v>8</v>
      </c>
      <c r="EX15" s="1632">
        <v>8</v>
      </c>
      <c r="EY15" s="1632">
        <v>8</v>
      </c>
      <c r="EZ15" s="1632">
        <v>8</v>
      </c>
      <c r="FA15" s="1632">
        <v>8</v>
      </c>
      <c r="FB15" s="1632">
        <v>8</v>
      </c>
      <c r="FC15" s="1632">
        <v>8</v>
      </c>
      <c r="FD15" s="1632">
        <v>8</v>
      </c>
      <c r="FE15" s="1632">
        <v>8</v>
      </c>
      <c r="FF15" s="1632">
        <v>8</v>
      </c>
      <c r="FG15" s="1632">
        <v>8</v>
      </c>
      <c r="FH15" s="1632">
        <v>8</v>
      </c>
      <c r="FI15" s="1632">
        <v>8</v>
      </c>
      <c r="FJ15" s="1632">
        <v>8</v>
      </c>
      <c r="FK15" s="1632">
        <v>8</v>
      </c>
      <c r="FL15" s="1632">
        <v>8</v>
      </c>
      <c r="FM15" s="1632">
        <v>8</v>
      </c>
      <c r="FN15" s="1632">
        <v>8</v>
      </c>
      <c r="FO15" s="1632">
        <v>8</v>
      </c>
      <c r="FP15" s="1632">
        <v>8</v>
      </c>
      <c r="FQ15" s="1632">
        <v>8</v>
      </c>
      <c r="FR15" s="1632">
        <v>8</v>
      </c>
      <c r="FS15" s="1632">
        <v>8</v>
      </c>
      <c r="FT15" s="1632">
        <v>8</v>
      </c>
      <c r="FU15" s="1632">
        <v>8</v>
      </c>
      <c r="FV15" s="1632">
        <v>8</v>
      </c>
      <c r="FW15" s="1632">
        <v>8</v>
      </c>
      <c r="FX15" s="1632">
        <v>8</v>
      </c>
      <c r="FY15" s="1632">
        <v>8</v>
      </c>
      <c r="FZ15" s="1632">
        <v>8</v>
      </c>
      <c r="GA15" s="1632">
        <v>8</v>
      </c>
      <c r="GB15" s="1632">
        <v>8</v>
      </c>
      <c r="GC15" s="1632">
        <v>8</v>
      </c>
      <c r="GD15" s="1632">
        <v>8</v>
      </c>
      <c r="GE15" s="1632">
        <v>8</v>
      </c>
      <c r="GF15" s="1632">
        <v>8</v>
      </c>
      <c r="GG15" s="1632">
        <v>8</v>
      </c>
      <c r="GH15" s="1632">
        <v>8</v>
      </c>
      <c r="GI15" s="1632">
        <v>8</v>
      </c>
      <c r="GJ15" s="1632">
        <v>8</v>
      </c>
      <c r="GK15" s="1632">
        <v>8</v>
      </c>
      <c r="GL15" s="1632">
        <v>8</v>
      </c>
      <c r="GM15" s="1632">
        <v>8</v>
      </c>
      <c r="GN15" s="1632">
        <v>8</v>
      </c>
      <c r="GO15" s="1632">
        <v>8</v>
      </c>
      <c r="GP15" s="1632">
        <v>8</v>
      </c>
      <c r="GQ15" s="1632">
        <v>8</v>
      </c>
      <c r="GR15" s="1632">
        <v>8</v>
      </c>
      <c r="GS15" s="1632">
        <v>8</v>
      </c>
      <c r="GT15" s="1632">
        <v>8</v>
      </c>
      <c r="GU15" s="1632">
        <v>8</v>
      </c>
      <c r="GV15" s="1632">
        <v>8</v>
      </c>
      <c r="GW15" s="1632">
        <v>8</v>
      </c>
      <c r="GX15" s="1632">
        <v>8</v>
      </c>
      <c r="GY15" s="1632">
        <v>8</v>
      </c>
      <c r="GZ15" s="1632">
        <v>8</v>
      </c>
      <c r="HA15" s="1632">
        <v>8</v>
      </c>
      <c r="HB15" s="1632">
        <v>8</v>
      </c>
      <c r="HC15" s="1632">
        <v>8</v>
      </c>
      <c r="HD15" s="1632">
        <v>8</v>
      </c>
      <c r="HE15" s="1632">
        <v>8</v>
      </c>
      <c r="HF15" s="1632">
        <v>8</v>
      </c>
      <c r="HG15" s="1632">
        <v>8</v>
      </c>
      <c r="HH15" s="1632">
        <v>8</v>
      </c>
      <c r="HI15" s="1632">
        <v>8</v>
      </c>
      <c r="HJ15" s="1632">
        <v>8</v>
      </c>
      <c r="HK15" s="1632">
        <v>8</v>
      </c>
      <c r="HL15" s="1632">
        <v>8</v>
      </c>
      <c r="HM15" s="1632">
        <v>8</v>
      </c>
      <c r="HN15" s="1632">
        <v>8</v>
      </c>
      <c r="HO15" s="1632">
        <v>8</v>
      </c>
      <c r="HP15" s="1632">
        <v>8</v>
      </c>
      <c r="HQ15" s="1632">
        <v>8</v>
      </c>
      <c r="HR15" s="1632">
        <v>8</v>
      </c>
      <c r="HS15" s="1632">
        <v>8</v>
      </c>
      <c r="HT15" s="1632">
        <v>8</v>
      </c>
      <c r="HU15" s="1632">
        <v>8</v>
      </c>
      <c r="HV15" s="1632">
        <v>8</v>
      </c>
      <c r="HW15" s="1632">
        <v>8</v>
      </c>
      <c r="HX15" s="1632">
        <v>8</v>
      </c>
      <c r="HY15" s="1632">
        <v>8</v>
      </c>
      <c r="HZ15" s="1632">
        <v>8</v>
      </c>
      <c r="IA15" s="1632">
        <v>8</v>
      </c>
      <c r="IB15" s="1632">
        <v>8</v>
      </c>
      <c r="IC15" s="1632">
        <v>8</v>
      </c>
      <c r="ID15" s="1632">
        <v>8</v>
      </c>
      <c r="IE15" s="1632">
        <v>8</v>
      </c>
      <c r="IF15" s="1632">
        <v>8</v>
      </c>
      <c r="IG15" s="1632">
        <v>8</v>
      </c>
      <c r="IH15" s="1632">
        <v>8</v>
      </c>
      <c r="II15" s="1632">
        <v>8</v>
      </c>
      <c r="IJ15" s="1632">
        <v>8</v>
      </c>
      <c r="IK15" s="1632">
        <v>8</v>
      </c>
      <c r="IL15" s="1632">
        <v>8</v>
      </c>
      <c r="IM15" s="1632">
        <v>8</v>
      </c>
      <c r="IN15" s="1632">
        <v>8</v>
      </c>
      <c r="IO15" s="1632">
        <v>8</v>
      </c>
      <c r="IP15" s="1632">
        <v>8</v>
      </c>
      <c r="IQ15" s="1632">
        <v>8</v>
      </c>
      <c r="IR15" s="1632">
        <v>8</v>
      </c>
      <c r="IS15" s="1632">
        <v>8</v>
      </c>
      <c r="IT15" s="1632">
        <v>8</v>
      </c>
      <c r="IU15" s="1632">
        <v>8</v>
      </c>
      <c r="IV15" s="1632">
        <v>8</v>
      </c>
      <c r="IW15" s="1632">
        <v>23</v>
      </c>
    </row>
  </sheetData>
  <sheetProtection sort="0" autoFilter="0" insertRows="0" insertColumns="1" deleteRows="0" deleteColumns="0"/>
  <mergeCells count="10">
    <mergeCell ref="A10:A11"/>
    <mergeCell ref="L10:L11"/>
    <mergeCell ref="E5:K5"/>
    <mergeCell ref="E7:K7"/>
    <mergeCell ref="L7:L9"/>
    <mergeCell ref="E8:E9"/>
    <mergeCell ref="F8:F9"/>
    <mergeCell ref="G8:I8"/>
    <mergeCell ref="J8:J9"/>
    <mergeCell ref="K8:K9"/>
  </mergeCells>
  <dataValidations count="5">
    <dataValidation type="time" allowBlank="1" showInputMessage="1" showErrorMessage="1" prompt="Укажите время в формате ЧЧ:ММ" sqref="H2">
      <formula1>0</formula1>
      <formula2>0.9993055555555556</formula2>
    </dataValidation>
    <dataValidation type="textLength" operator="lessThanOrEqual" allowBlank="1" showInputMessage="1" showErrorMessage="1" sqref="I2">
      <formula1>990</formula1>
    </dataValidation>
    <dataValidation type="textLength" allowBlank="1" showInputMessage="1" showErrorMessage="1" sqref="H3:I3">
      <formula1>13</formula1>
      <formula2>15</formula2>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G2:G3"/>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J2:K3">
      <formula1>900</formula1>
    </dataValidation>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5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2FD54C52-C608-BB68-3578-50015066785A}" mc:Ignorable="x14ac xr xr2 xr3">
  <dimension ref="A1:Q19"/>
  <sheetViews>
    <sheetView showGridLines="0" zoomScale="90" workbookViewId="0">
      <pane xSplit="10" ySplit="12" topLeftCell="K13" activePane="bottomRight" state="frozen"/>
      <selection pane="bottomLeft" activeCell="A13" sqref="A13"/>
      <selection pane="topRight" activeCell="K1" sqref="K1"/>
      <selection pane="bottomRight" activeCell="A1" sqref="A1"/>
    </sheetView>
  </sheetViews>
  <sheetFormatPr defaultColWidth="9.140625" customHeight="1" defaultRowHeight="14.25"/>
  <cols>
    <col min="1" max="1" style="1636" width="9.140625" hidden="1"/>
    <col min="2" max="2" style="1367" width="9.140625" hidden="1"/>
    <col min="3" max="3" style="1636" width="3.7109375" hidden="1" customWidth="1"/>
    <col min="4" max="4" style="1843" width="3.00390625" customWidth="1"/>
    <col min="5" max="5" style="1636" width="6.00390625" customWidth="1"/>
    <col min="6" max="6" style="1636" width="27.00390625" customWidth="1"/>
    <col min="7" max="7" style="1636" width="29.00390625" customWidth="1"/>
    <col min="8" max="8" style="1636" width="25.00390625" customWidth="1"/>
    <col min="9" max="9" style="1636" width="5.00390625" customWidth="1"/>
    <col min="10" max="10" style="1636" width="6.00390625" customWidth="1"/>
    <col min="11" max="11" style="1636" width="41.00390625" customWidth="1"/>
    <col min="12" max="12" style="1636" width="42.00390625" customWidth="1"/>
    <col min="13" max="13" style="1636" width="41.00390625" customWidth="1"/>
    <col min="14" max="14" style="1636" width="89.00390625" customWidth="1"/>
    <col min="15" max="15" style="1625" width="3.00390625" customWidth="1"/>
    <col min="16" max="16" style="1625" width="8.00390625" customWidth="1"/>
    <col min="17" max="17" style="1636" width="9.140625" hidden="1"/>
  </cols>
  <sheetData>
    <row customHeight="1" ht="22.5" hidden="1">
      <c r="Q1" s="1156" t="s">
        <v>14</v>
      </c>
    </row>
    <row s="1851" customFormat="1" customHeight="1" ht="22.5" hidden="1">
      <c r="A2" s="497"/>
      <c r="B2" s="1161">
        <v>1</v>
      </c>
      <c r="C2" s="1161"/>
      <c r="D2" s="1929" t="s">
        <v>104</v>
      </c>
      <c r="E2" s="2128">
        <v>1</v>
      </c>
      <c r="F2" s="2304" t="str">
        <f>IF(region_name="","",region_name)</f>
        <v>Курганская область</v>
      </c>
      <c r="G2" s="2484"/>
      <c r="H2" s="2485"/>
      <c r="I2" s="475"/>
      <c r="J2" s="1911">
        <v>1</v>
      </c>
      <c r="K2" s="1913"/>
      <c r="L2" s="1913"/>
      <c r="M2" s="1913"/>
      <c r="N2" s="493"/>
      <c r="O2" s="1536"/>
      <c r="P2" s="512"/>
      <c r="Q2" s="424">
        <v>0</v>
      </c>
    </row>
    <row s="1851" customFormat="1" customHeight="1" ht="22.5" hidden="1">
      <c r="A3" s="832"/>
      <c r="B3" s="1161"/>
      <c r="C3" s="1161"/>
      <c r="D3" s="802"/>
      <c r="E3" s="2128"/>
      <c r="F3" s="2304"/>
      <c r="G3" s="2484"/>
      <c r="H3" s="2486"/>
      <c r="I3" s="422"/>
      <c r="J3" s="1501"/>
      <c r="K3" s="1501" t="s">
        <v>1896</v>
      </c>
      <c r="L3" s="1544"/>
      <c r="M3" s="1921"/>
      <c r="N3" s="1914"/>
      <c r="O3" s="1536"/>
      <c r="P3" s="512"/>
      <c r="Q3" s="424">
        <v>0</v>
      </c>
    </row>
    <row s="1643" customFormat="1" customHeight="1" ht="5.25" hidden="1">
      <c r="A4" s="497"/>
      <c r="D4" s="495"/>
      <c r="F4" s="248" t="s">
        <v>84</v>
      </c>
      <c r="G4" s="495" t="s">
        <v>85</v>
      </c>
      <c r="H4" s="495"/>
      <c r="I4" s="1924"/>
      <c r="J4" s="1545"/>
      <c r="K4" s="1912"/>
      <c r="L4" s="1912"/>
      <c r="M4" s="1912"/>
      <c r="N4" s="1908"/>
      <c r="O4" s="248" t="s">
        <v>84</v>
      </c>
      <c r="P4" s="248"/>
      <c r="Q4" s="512">
        <v>0</v>
      </c>
    </row>
    <row s="1851" customFormat="1" customHeight="1" ht="22.5" hidden="1">
      <c r="A5" s="1642"/>
      <c r="B5" s="1367">
        <v>1</v>
      </c>
      <c r="C5" s="1367"/>
      <c r="D5" s="802"/>
      <c r="E5" s="1914"/>
      <c r="F5" s="1914"/>
      <c r="G5" s="1914"/>
      <c r="H5" s="1925"/>
      <c r="I5" s="1930" t="s">
        <v>104</v>
      </c>
      <c r="J5" s="1923">
        <v>1</v>
      </c>
      <c r="K5" s="1913"/>
      <c r="L5" s="1913"/>
      <c r="M5" s="1913"/>
      <c r="N5" s="493"/>
      <c r="O5" s="1536"/>
      <c r="P5" s="1637"/>
      <c r="Q5" s="625">
        <v>0</v>
      </c>
    </row>
    <row s="1820" customFormat="1" customHeight="1" ht="14.699999999999998">
      <c r="A6" s="1156"/>
      <c r="B6" s="1161"/>
      <c r="C6" s="1156"/>
      <c r="D6" s="1496"/>
      <c r="E6" s="510"/>
      <c r="F6" s="510"/>
      <c r="G6" s="510"/>
      <c r="H6" s="510"/>
      <c r="I6" s="510"/>
      <c r="J6" s="510"/>
      <c r="K6" s="510"/>
      <c r="L6" s="510"/>
      <c r="M6" s="510"/>
      <c r="N6" s="1636"/>
      <c r="O6" s="248"/>
      <c r="P6" s="501"/>
      <c r="Q6" s="508">
        <v>14</v>
      </c>
    </row>
    <row s="1820" customFormat="1" customHeight="1" ht="27.299999999999997">
      <c r="A7" s="1156"/>
      <c r="B7" s="1161"/>
      <c r="C7" s="1156"/>
      <c r="D7" s="1496"/>
      <c r="E7" s="2491" t="str">
        <f>"Форма "&amp;IF(TEMPLATE_SPHERE="HEAT","5","4")&amp;". Информация о привлечении к административной ответственности организаций и должностных лиц за нарушение установленных порядка, способа, сроков раскрытия информации и форм ее предоставления"</f>
        <v>Форма 5. Информация о привлечении к административной ответственности организаций и должностных лиц за нарушение установленных порядка, способа, сроков раскрытия информации и форм ее предоставления</v>
      </c>
      <c r="F7" s="2491"/>
      <c r="G7" s="2491"/>
      <c r="H7" s="2491"/>
      <c r="I7" s="2491"/>
      <c r="J7" s="2491"/>
      <c r="K7" s="2491"/>
      <c r="L7" s="2491"/>
      <c r="M7" s="2491"/>
      <c r="N7" s="1253"/>
      <c r="O7" s="248"/>
      <c r="P7" s="501"/>
      <c r="Q7" s="508">
        <v>26</v>
      </c>
    </row>
    <row s="1820" customFormat="1" customHeight="1" ht="14.699999999999998">
      <c r="A8" s="1156"/>
      <c r="B8" s="1161"/>
      <c r="C8" s="1156"/>
      <c r="D8" s="1496"/>
      <c r="E8" s="510"/>
      <c r="F8" s="168"/>
      <c r="G8" s="168"/>
      <c r="H8" s="168"/>
      <c r="I8" s="168"/>
      <c r="J8" s="168"/>
      <c r="K8" s="168"/>
      <c r="L8" s="168"/>
      <c r="M8" s="168"/>
      <c r="N8" s="617"/>
      <c r="O8" s="501"/>
      <c r="P8" s="501"/>
      <c r="Q8" s="508">
        <v>14</v>
      </c>
    </row>
    <row s="1547" customFormat="1" customHeight="1" ht="14.25" hidden="1">
      <c r="A9" s="1469"/>
      <c r="B9" s="1479"/>
      <c r="C9" s="1469"/>
      <c r="D9" s="1496"/>
      <c r="E9" s="1915"/>
      <c r="F9" s="1915"/>
      <c r="G9" s="1915"/>
      <c r="H9" s="1915"/>
      <c r="I9" s="2494"/>
      <c r="J9" s="2494"/>
      <c r="K9" s="2494"/>
      <c r="L9" s="1915"/>
      <c r="M9" s="1916"/>
      <c r="O9" s="1546"/>
      <c r="P9" s="1546"/>
      <c r="Q9" s="1547">
        <v>0</v>
      </c>
    </row>
    <row s="1820" customFormat="1" customHeight="1" ht="14.699999999999998">
      <c r="A10" s="1156"/>
      <c r="B10" s="1161"/>
      <c r="C10" s="1156"/>
      <c r="D10" s="1496"/>
      <c r="E10" s="2128" t="s">
        <v>317</v>
      </c>
      <c r="F10" s="2128"/>
      <c r="G10" s="2128"/>
      <c r="H10" s="2128"/>
      <c r="I10" s="2128"/>
      <c r="J10" s="2128"/>
      <c r="K10" s="2128"/>
      <c r="L10" s="2128"/>
      <c r="M10" s="2102"/>
      <c r="N10" s="2479" t="s">
        <v>318</v>
      </c>
      <c r="O10" s="501"/>
      <c r="P10" s="501"/>
      <c r="Q10" s="508">
        <v>14</v>
      </c>
    </row>
    <row s="1820" customFormat="1" customHeight="1" ht="44.25">
      <c r="A11" s="1632"/>
      <c r="B11" s="1367"/>
      <c r="C11" s="1632"/>
      <c r="D11" s="1516"/>
      <c r="E11" s="2493" t="s">
        <v>89</v>
      </c>
      <c r="F11" s="2493" t="s">
        <v>321</v>
      </c>
      <c r="G11" s="2493" t="s">
        <v>1897</v>
      </c>
      <c r="H11" s="2493"/>
      <c r="I11" s="2493" t="s">
        <v>1898</v>
      </c>
      <c r="J11" s="2493"/>
      <c r="K11" s="2493"/>
      <c r="L11" s="2493" t="s">
        <v>1899</v>
      </c>
      <c r="M11" s="2481" t="s">
        <v>1900</v>
      </c>
      <c r="N11" s="2492"/>
      <c r="O11" s="1625"/>
      <c r="P11" s="1625"/>
      <c r="Q11" s="1610">
        <v>42</v>
      </c>
    </row>
    <row s="1820" customFormat="1" customHeight="1" ht="29.25">
      <c r="A12" s="1156"/>
      <c r="B12" s="1161"/>
      <c r="C12" s="1156"/>
      <c r="D12" s="1496"/>
      <c r="E12" s="2479"/>
      <c r="F12" s="2493"/>
      <c r="G12" s="1910" t="s">
        <v>1901</v>
      </c>
      <c r="H12" s="1910" t="s">
        <v>325</v>
      </c>
      <c r="I12" s="2493"/>
      <c r="J12" s="2493"/>
      <c r="K12" s="2493"/>
      <c r="L12" s="2493"/>
      <c r="M12" s="2481"/>
      <c r="N12" s="2480"/>
      <c r="O12" s="501"/>
      <c r="P12" s="501"/>
      <c r="Q12" s="508">
        <v>28</v>
      </c>
    </row>
    <row s="1851" customFormat="1" customHeight="1" ht="23.25">
      <c r="A13" s="2100">
        <v>26379339</v>
      </c>
      <c r="B13" s="1161">
        <v>1</v>
      </c>
      <c r="C13" s="1161"/>
      <c r="D13" s="802"/>
      <c r="E13" s="2128">
        <v>1</v>
      </c>
      <c r="F13" s="2487" t="str">
        <f>IF(region_name="","",region_name)</f>
        <v>Курганская область</v>
      </c>
      <c r="G13" s="2488"/>
      <c r="H13" s="2495"/>
      <c r="I13" s="475"/>
      <c r="J13" s="1906">
        <v>1</v>
      </c>
      <c r="K13" s="1919"/>
      <c r="L13" s="1920"/>
      <c r="M13" s="1920"/>
      <c r="N13" s="2489" t="s">
        <v>1902</v>
      </c>
      <c r="O13" s="1536"/>
      <c r="P13" s="512"/>
      <c r="Q13" s="424">
        <v>22</v>
      </c>
    </row>
    <row s="1851" customFormat="1" customHeight="1" ht="23.25">
      <c r="A14" s="2100"/>
      <c r="B14" s="1161"/>
      <c r="C14" s="1161"/>
      <c r="D14" s="802"/>
      <c r="E14" s="2128"/>
      <c r="F14" s="2487"/>
      <c r="G14" s="2488"/>
      <c r="H14" s="2496"/>
      <c r="I14" s="422"/>
      <c r="J14" s="1501"/>
      <c r="K14" s="1501" t="s">
        <v>1896</v>
      </c>
      <c r="L14" s="1544"/>
      <c r="M14" s="1544"/>
      <c r="N14" s="2490"/>
      <c r="O14" s="1536"/>
      <c r="P14" s="512"/>
      <c r="Q14" s="424">
        <v>22</v>
      </c>
    </row>
    <row s="1851" customFormat="1" customHeight="1" ht="23.25">
      <c r="A15" s="2100"/>
      <c r="B15" s="1161"/>
      <c r="C15" s="413"/>
      <c r="D15" s="802"/>
      <c r="E15" s="422"/>
      <c r="F15" s="1501" t="s">
        <v>1888</v>
      </c>
      <c r="G15" s="1543"/>
      <c r="H15" s="1543"/>
      <c r="I15" s="188"/>
      <c r="J15" s="188"/>
      <c r="K15" s="188"/>
      <c r="L15" s="188"/>
      <c r="M15" s="188"/>
      <c r="N15" s="2490"/>
      <c r="O15" s="1537"/>
      <c r="P15" s="512"/>
      <c r="Q15" s="424">
        <v>22</v>
      </c>
    </row>
    <row s="1820" customFormat="1" customHeight="1" ht="22.049999999999997">
      <c r="A16" s="1156"/>
      <c r="B16" s="1161"/>
      <c r="C16" s="1156"/>
      <c r="D16" s="452"/>
      <c r="E16" s="181"/>
      <c r="F16" s="181"/>
      <c r="G16" s="181"/>
      <c r="H16" s="181"/>
      <c r="I16" s="181"/>
      <c r="J16" s="181"/>
      <c r="K16" s="181"/>
      <c r="L16" s="181"/>
      <c r="M16" s="510"/>
      <c r="N16" s="1636"/>
      <c r="O16" s="501"/>
      <c r="P16" s="501"/>
      <c r="Q16" s="508">
        <v>21</v>
      </c>
    </row>
    <row s="1820" customFormat="1" customHeight="1" ht="14.699999999999998">
      <c r="A17" s="1156"/>
      <c r="B17" s="1161"/>
      <c r="C17" s="1156"/>
      <c r="D17" s="452"/>
      <c r="E17" s="1156"/>
      <c r="F17" s="1156"/>
      <c r="G17" s="1156"/>
      <c r="H17" s="1156"/>
      <c r="I17" s="1156"/>
      <c r="J17" s="1156"/>
      <c r="K17" s="1156"/>
      <c r="L17" s="1156"/>
      <c r="M17" s="1156"/>
      <c r="N17" s="1632"/>
      <c r="O17" s="501"/>
      <c r="P17" s="501"/>
      <c r="Q17" s="508">
        <v>14</v>
      </c>
    </row>
    <row s="1820" customFormat="1" customHeight="1" ht="1.05">
      <c r="A18" s="1156"/>
      <c r="B18" s="1161"/>
      <c r="C18" s="1156"/>
      <c r="D18" s="452"/>
      <c r="E18" s="1156"/>
      <c r="F18" s="1156"/>
      <c r="G18" s="1156"/>
      <c r="H18" s="1156"/>
      <c r="I18" s="1156"/>
      <c r="J18" s="1156"/>
      <c r="K18" s="1156"/>
      <c r="L18" s="1156"/>
      <c r="M18" s="1156"/>
      <c r="N18" s="1632"/>
      <c r="O18" s="501"/>
      <c r="P18" s="501"/>
      <c r="Q18" s="508">
        <v>1</v>
      </c>
    </row>
    <row customHeight="1" ht="22.5" hidden="1">
      <c r="A19" s="1156" t="s">
        <v>83</v>
      </c>
      <c r="B19" s="1161">
        <v>0</v>
      </c>
      <c r="C19" s="1156">
        <v>0</v>
      </c>
      <c r="D19" s="452">
        <v>3</v>
      </c>
      <c r="E19" s="1156">
        <v>6</v>
      </c>
      <c r="F19" s="1156">
        <v>27</v>
      </c>
      <c r="G19" s="1156">
        <v>29</v>
      </c>
      <c r="H19" s="1156">
        <v>25</v>
      </c>
      <c r="I19" s="1156">
        <v>5</v>
      </c>
      <c r="J19" s="1156">
        <v>6</v>
      </c>
      <c r="K19" s="1156">
        <v>41</v>
      </c>
      <c r="L19" s="1156">
        <v>42</v>
      </c>
      <c r="M19" s="1156">
        <v>41</v>
      </c>
      <c r="N19" s="1632">
        <v>89</v>
      </c>
      <c r="O19" s="501">
        <v>3</v>
      </c>
      <c r="P19" s="501">
        <v>8</v>
      </c>
      <c r="Q19" s="1156">
        <v>23</v>
      </c>
    </row>
  </sheetData>
  <sheetProtection formatColumns="0" formatRows="0" autoFilter="0" sort="0" insertRows="0" insertColumns="1" deleteRows="0" deleteColumns="0"/>
  <mergeCells count="20">
    <mergeCell ref="N13:N15"/>
    <mergeCell ref="E10:M10"/>
    <mergeCell ref="E7:M7"/>
    <mergeCell ref="N10:N12"/>
    <mergeCell ref="I11:K12"/>
    <mergeCell ref="L11:L12"/>
    <mergeCell ref="M11:M12"/>
    <mergeCell ref="E11:E12"/>
    <mergeCell ref="F11:F12"/>
    <mergeCell ref="I9:K9"/>
    <mergeCell ref="H13:H14"/>
    <mergeCell ref="G11:H11"/>
    <mergeCell ref="E2:E3"/>
    <mergeCell ref="F2:F3"/>
    <mergeCell ref="G2:G3"/>
    <mergeCell ref="H2:H3"/>
    <mergeCell ref="A13:A15"/>
    <mergeCell ref="F13:F14"/>
    <mergeCell ref="G13:G14"/>
    <mergeCell ref="E13:E14"/>
  </mergeCells>
  <dataValidations count="2">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L4">
      <formula1>900</formula1>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 sqref="M4">
      <formula1>900</formula1>
    </dataValidation>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5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A91216F8-FD18-DD0D-5425-48B4516AC304}" mc:Ignorable="x14ac xr xr2 xr3">
  <sheetPr>
    <tabColor rgb="FFEAEBEE"/>
    <pageSetUpPr fitToPage="1"/>
  </sheetPr>
  <dimension ref="A1:M16"/>
  <sheetViews>
    <sheetView showGridLines="0" zoomScale="90" workbookViewId="0">
      <pane xSplit="4" ySplit="11" topLeftCell="E12" activePane="bottomRight" state="frozen"/>
      <selection pane="bottomLeft" activeCell="A12" sqref="A12"/>
      <selection pane="topRight" activeCell="E1" sqref="E1"/>
      <selection pane="bottomRight" activeCell="A1" sqref="A1"/>
    </sheetView>
  </sheetViews>
  <sheetFormatPr defaultColWidth="9.140625" customHeight="1" defaultRowHeight="14.25"/>
  <cols>
    <col min="1" max="1" style="359" width="9.140625" hidden="1"/>
    <col min="2" max="2" style="1824" width="9.140625" hidden="1"/>
    <col min="3" max="3" style="121" width="3.00390625" customWidth="1"/>
    <col min="4" max="4" style="1824" width="6.00390625" customWidth="1"/>
    <col min="5" max="5" style="1824" width="22.00390625" customWidth="1"/>
    <col min="6" max="6" style="1824" width="15.00390625" customWidth="1"/>
    <col min="7" max="7" style="1824" width="14.00390625" customWidth="1"/>
    <col min="8" max="8" style="1824" width="47.00390625" customWidth="1"/>
    <col min="9" max="9" style="1824" width="115.00390625" customWidth="1"/>
    <col min="10" max="10" style="1824" width="3.00390625" customWidth="1"/>
    <col min="11" max="12" style="1824" width="8.00390625" customWidth="1"/>
    <col min="13" max="13" style="1824" width="9.140625" hidden="1"/>
  </cols>
  <sheetData>
    <row customHeight="1" ht="14.25" hidden="1">
      <c r="M1" s="122" t="s">
        <v>14</v>
      </c>
    </row>
    <row customHeight="1" ht="14.25" hidden="1">
      <c r="M2" s="122">
        <v>0</v>
      </c>
    </row>
    <row customHeight="1" ht="14.25" hidden="1">
      <c r="M3" s="122">
        <v>0</v>
      </c>
    </row>
    <row customHeight="1" ht="3">
      <c r="M4" s="122">
        <v>3</v>
      </c>
    </row>
    <row s="1636" customFormat="1" customHeight="1" ht="31.5">
      <c r="A5" s="116"/>
      <c r="C5" s="91"/>
      <c r="D5" s="2101" t="s">
        <v>1903</v>
      </c>
      <c r="E5" s="2101"/>
      <c r="F5" s="2101"/>
      <c r="G5" s="2101"/>
      <c r="H5" s="2101"/>
      <c r="I5" s="266"/>
      <c r="M5" s="84">
        <v>30</v>
      </c>
    </row>
    <row customHeight="1" ht="3" hidden="1">
      <c r="D6" s="123"/>
      <c r="E6" s="123"/>
      <c r="F6" s="123"/>
      <c r="G6" s="123"/>
      <c r="H6" s="123"/>
      <c r="I6" s="123"/>
      <c r="M6" s="122">
        <v>0</v>
      </c>
    </row>
    <row s="359" customFormat="1" customHeight="1" ht="14.699999999999998">
      <c r="B7" s="120"/>
      <c r="C7" s="121"/>
      <c r="D7" s="124"/>
      <c r="E7" s="124"/>
      <c r="F7" s="124"/>
      <c r="G7" s="124"/>
      <c r="H7" s="753"/>
      <c r="I7" s="124"/>
      <c r="J7" s="125"/>
      <c r="M7" s="119">
        <v>14</v>
      </c>
    </row>
    <row customHeight="1" ht="14.699999999999998">
      <c r="D8" s="2210" t="s">
        <v>317</v>
      </c>
      <c r="E8" s="2210"/>
      <c r="F8" s="2210"/>
      <c r="G8" s="2210"/>
      <c r="H8" s="2210"/>
      <c r="I8" s="2210" t="s">
        <v>318</v>
      </c>
      <c r="M8" s="122">
        <v>14</v>
      </c>
    </row>
    <row customHeight="1" ht="29.25">
      <c r="D9" s="2210" t="s">
        <v>89</v>
      </c>
      <c r="E9" s="2210" t="s">
        <v>1904</v>
      </c>
      <c r="F9" s="2210"/>
      <c r="G9" s="2210"/>
      <c r="H9" s="2210"/>
      <c r="I9" s="2210"/>
      <c r="M9" s="122">
        <v>28</v>
      </c>
    </row>
    <row customHeight="1" ht="24">
      <c r="D10" s="2210"/>
      <c r="E10" s="128" t="s">
        <v>1905</v>
      </c>
      <c r="F10" s="128" t="s">
        <v>1906</v>
      </c>
      <c r="G10" s="128" t="s">
        <v>1907</v>
      </c>
      <c r="H10" s="128" t="s">
        <v>407</v>
      </c>
      <c r="I10" s="2210"/>
      <c r="M10" s="122">
        <v>23</v>
      </c>
    </row>
    <row customHeight="1" ht="12" hidden="1">
      <c r="D11" s="88" t="s">
        <v>118</v>
      </c>
      <c r="E11" s="88" t="s">
        <v>92</v>
      </c>
      <c r="F11" s="88" t="s">
        <v>119</v>
      </c>
      <c r="G11" s="88" t="s">
        <v>93</v>
      </c>
      <c r="H11" s="88" t="s">
        <v>94</v>
      </c>
      <c r="I11" s="88" t="s">
        <v>120</v>
      </c>
      <c r="M11" s="122">
        <v>0</v>
      </c>
    </row>
    <row s="1824" customFormat="1" customHeight="1" ht="26.25">
      <c r="A12" s="146" t="s">
        <v>91</v>
      </c>
      <c r="B12" s="126" t="s">
        <v>28</v>
      </c>
      <c r="C12" s="127"/>
      <c r="D12" s="129" t="s">
        <v>118</v>
      </c>
      <c r="E12" s="382"/>
      <c r="F12" s="382"/>
      <c r="G12" s="1735" t="s">
        <v>28</v>
      </c>
      <c r="H12" s="383"/>
      <c r="I12" s="2170" t="s">
        <v>1908</v>
      </c>
      <c r="K12" s="273"/>
      <c r="L12" s="274"/>
      <c r="M12" s="118">
        <v>25</v>
      </c>
    </row>
    <row customHeight="1" ht="15.75">
      <c r="A13" s="122"/>
      <c r="B13" s="122"/>
      <c r="C13" s="122"/>
      <c r="D13" s="110"/>
      <c r="E13" s="131" t="s">
        <v>487</v>
      </c>
      <c r="F13" s="130"/>
      <c r="G13" s="130"/>
      <c r="H13" s="215"/>
      <c r="I13" s="2172"/>
      <c r="M13" s="122">
        <v>15</v>
      </c>
    </row>
    <row customHeight="1" ht="3">
      <c r="A14" s="122"/>
      <c r="B14" s="122"/>
      <c r="C14" s="122"/>
      <c r="M14" s="122">
        <v>3</v>
      </c>
    </row>
    <row customHeight="1" ht="29.25">
      <c r="E15" s="2497" t="s">
        <v>1909</v>
      </c>
      <c r="F15" s="2497"/>
      <c r="G15" s="2497"/>
      <c r="H15" s="2497"/>
      <c r="M15" s="122">
        <v>28</v>
      </c>
    </row>
    <row customHeight="1" ht="14.25" hidden="1">
      <c r="A16" s="119" t="s">
        <v>83</v>
      </c>
      <c r="B16" s="120">
        <v>0</v>
      </c>
      <c r="C16" s="121">
        <v>3</v>
      </c>
      <c r="D16" s="122">
        <v>6</v>
      </c>
      <c r="E16" s="122">
        <v>22</v>
      </c>
      <c r="F16" s="122">
        <v>15</v>
      </c>
      <c r="G16" s="122">
        <v>14</v>
      </c>
      <c r="H16" s="122">
        <v>47</v>
      </c>
      <c r="I16" s="122">
        <v>115</v>
      </c>
      <c r="J16" s="122">
        <v>3</v>
      </c>
      <c r="K16" s="122">
        <v>8</v>
      </c>
      <c r="L16" s="122">
        <v>8</v>
      </c>
      <c r="M16" s="122">
        <v>14</v>
      </c>
    </row>
  </sheetData>
  <sheetProtection formatColumns="0" formatRows="0" autoFilter="0" sort="0" insertRows="0" insertColumns="1" deleteRows="0" deleteColumns="0"/>
  <mergeCells count="7">
    <mergeCell ref="E15:H15"/>
    <mergeCell ref="D5:H5"/>
    <mergeCell ref="I12:I13"/>
    <mergeCell ref="D8:H8"/>
    <mergeCell ref="I8:I10"/>
    <mergeCell ref="E9:H9"/>
    <mergeCell ref="D9:D10"/>
  </mergeCells>
  <dataValidations count="3">
    <dataValidation type="textLength" operator="lessThanOrEqual" allowBlank="1" showInputMessage="1" showErrorMessage="1" errorTitle="Ошибка" error="Допускается ввод не более 900 символов!" sqref="E12:F12">
      <formula1>900</formula1>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H12">
      <formula1>900</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G12"/>
  </dataValidations>
  <printOptions horizontalCentered="1"/>
  <pageMargins left="0.24" right="0.24" top="0.24" bottom="0.24" header="0.24" footer="0.24"/>
  <pageSetup paperSize="9" scale="70" fitToHeight="0" pageOrder="downThenOver" orientation="landscape"/>
  <headerFooter>
    <oddHeader>&amp;L&amp;C&amp;R</oddHeader>
    <oddFooter>&amp;L&amp;C&amp;R</oddFooter>
    <evenHeader>&amp;L&amp;C&amp;R</evenHeader>
    <evenFooter>&amp;L&amp;C&amp;R</evenFooter>
  </headerFooter>
</worksheet>
</file>

<file path=xl/worksheets/sheet5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D45DB15A-F818-F7C8-D958-5FED8B88FB98}" mc:Ignorable="x14ac xr xr2 xr3">
  <sheetPr>
    <tabColor rgb="FFCCCCFF"/>
    <pageSetUpPr fitToPage="1"/>
  </sheetPr>
  <dimension ref="A1:J16"/>
  <sheetViews>
    <sheetView showGridLines="0" zoomScale="90" workbookViewId="0">
      <pane xSplit="4" ySplit="11" topLeftCell="E12" activePane="bottomRight" state="frozen"/>
      <selection pane="bottomLeft" activeCell="A12" sqref="A12"/>
      <selection pane="topRight" activeCell="E1" sqref="E1"/>
      <selection pane="bottomRight" activeCell="E13" sqref="E13"/>
    </sheetView>
  </sheetViews>
  <sheetFormatPr defaultColWidth="9.140625" customHeight="1" defaultRowHeight="14.25"/>
  <cols>
    <col min="1" max="2" style="265" width="9.140625" hidden="1"/>
    <col min="3" max="3" style="92" width="3.00390625" customWidth="1"/>
    <col min="4" max="4" style="265" width="6.00390625" customWidth="1"/>
    <col min="5" max="5" style="265" width="100.8515625" customWidth="1"/>
    <col min="6" max="9" style="265" width="8.00390625" customWidth="1"/>
    <col min="10" max="10" style="265" width="9.140625" hidden="1"/>
  </cols>
  <sheetData>
    <row customHeight="1" ht="14.25" hidden="1">
      <c r="J1" s="70" t="s">
        <v>14</v>
      </c>
    </row>
    <row customHeight="1" ht="14.25" hidden="1">
      <c r="J2" s="70">
        <v>0</v>
      </c>
    </row>
    <row customHeight="1" ht="14.25" hidden="1">
      <c r="J3" s="70">
        <v>0</v>
      </c>
    </row>
    <row customHeight="1" ht="14.25" hidden="1">
      <c r="J4" s="70">
        <v>0</v>
      </c>
    </row>
    <row customHeight="1" ht="14.25" hidden="1">
      <c r="J5" s="70">
        <v>0</v>
      </c>
    </row>
    <row customHeight="1" ht="3">
      <c r="C6" s="93"/>
      <c r="D6" s="71"/>
      <c r="E6" s="71"/>
      <c r="J6" s="70">
        <v>3</v>
      </c>
    </row>
    <row customHeight="1" ht="23.25">
      <c r="C7" s="93"/>
      <c r="D7" s="2498" t="s">
        <v>1910</v>
      </c>
      <c r="E7" s="2499"/>
      <c r="F7" s="268"/>
      <c r="J7" s="70">
        <v>22</v>
      </c>
    </row>
    <row customHeight="1" ht="3">
      <c r="C8" s="93"/>
      <c r="D8" s="71"/>
      <c r="E8" s="71"/>
      <c r="J8" s="70">
        <v>3</v>
      </c>
    </row>
    <row customHeight="1" ht="16.8">
      <c r="C9" s="93"/>
      <c r="D9" s="106" t="s">
        <v>89</v>
      </c>
      <c r="E9" s="261" t="s">
        <v>1911</v>
      </c>
      <c r="J9" s="70">
        <v>16</v>
      </c>
    </row>
    <row customHeight="1" ht="1.05">
      <c r="C10" s="93"/>
      <c r="D10" s="88"/>
      <c r="E10" s="88"/>
      <c r="J10" s="70">
        <v>1</v>
      </c>
    </row>
    <row customHeight="1" ht="11.25" hidden="1">
      <c r="C11" s="93"/>
      <c r="D11" s="151">
        <v>0</v>
      </c>
      <c r="E11" s="262"/>
      <c r="J11" s="70">
        <v>0</v>
      </c>
    </row>
    <row customHeight="1" ht="15.75">
      <c r="C12" s="137"/>
      <c r="D12" s="114">
        <v>1</v>
      </c>
      <c r="E12" s="378" t="s">
        <v>1912</v>
      </c>
      <c r="J12" s="70">
        <v>15</v>
      </c>
    </row>
    <row customHeight="1" ht="12.75">
      <c r="C13" s="93"/>
      <c r="D13" s="263"/>
      <c r="E13" s="264" t="s">
        <v>1913</v>
      </c>
      <c r="J13" s="70">
        <v>12</v>
      </c>
    </row>
    <row customHeight="1" ht="3">
      <c r="J14" s="70">
        <v>3</v>
      </c>
    </row>
    <row customHeight="1" ht="23.25">
      <c r="C15" s="138"/>
      <c r="D15" s="2500" t="s">
        <v>1914</v>
      </c>
      <c r="E15" s="2500"/>
      <c r="F15" s="139"/>
      <c r="G15" s="139"/>
      <c r="H15" s="139"/>
      <c r="I15" s="139"/>
      <c r="J15" s="70">
        <v>22</v>
      </c>
    </row>
    <row customHeight="1" ht="14.25" hidden="1">
      <c r="A16" s="70" t="s">
        <v>83</v>
      </c>
      <c r="B16" s="70">
        <v>0</v>
      </c>
      <c r="C16" s="92">
        <v>3</v>
      </c>
      <c r="D16" s="70">
        <v>6</v>
      </c>
      <c r="E16" s="70">
        <v>94</v>
      </c>
      <c r="F16" s="70">
        <v>8</v>
      </c>
      <c r="G16" s="70">
        <v>8</v>
      </c>
      <c r="H16" s="70">
        <v>8</v>
      </c>
      <c r="I16" s="70">
        <v>8</v>
      </c>
      <c r="J16" s="70">
        <v>14</v>
      </c>
    </row>
  </sheetData>
  <sheetProtection formatColumns="0" formatRows="0" sort="0" autoFilter="0" insertRows="0" insertColumns="1" deleteRows="0" deleteColumns="0"/>
  <mergeCells count="2">
    <mergeCell ref="D7:E7"/>
    <mergeCell ref="D15:E15"/>
  </mergeCells>
  <dataValidations count="1">
    <dataValidation type="textLength" operator="lessThanOrEqual" allowBlank="1" showInputMessage="1" showErrorMessage="1" errorTitle="Ошибка" error="Допускается ввод не более 900 символов!" sqref="E11:E12">
      <formula1>900</formula1>
    </dataValidation>
  </dataValidations>
  <pageMargins left="0.75" right="0.75" top="1.00" bottom="1.00" header="0.50" footer="0.50"/>
  <pageSetup paperSize="9" scale="94" pageOrder="downThenOver" orientation="portrait"/>
  <headerFooter>
    <oddHeader>&amp;L&amp;C&amp;R</oddHeader>
    <oddFooter>&amp;L&amp;C&amp;R</oddFooter>
    <evenHeader>&amp;L&amp;C&amp;R</evenHeader>
    <evenFooter>&amp;L&amp;C&amp;R</evenFooter>
  </headerFooter>
</worksheet>
</file>

<file path=xl/worksheets/sheet5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982F3F68-56B3-A388-8838-66974F915D0E}" mc:Ignorable="x14ac xr xr2 xr3">
  <sheetPr>
    <tabColor rgb="FFCCCCFF"/>
    <pageSetUpPr fitToPage="1"/>
  </sheetPr>
  <dimension ref="A1:M13"/>
  <sheetViews>
    <sheetView topLeftCell="C6" showGridLines="0" zoomScale="90" workbookViewId="0">
      <selection activeCell="A1" sqref="A1"/>
    </sheetView>
  </sheetViews>
  <sheetFormatPr defaultColWidth="9.140625" customHeight="1" defaultRowHeight="14.25"/>
  <cols>
    <col min="1" max="2" style="265" width="9.140625" hidden="1"/>
    <col min="3" max="3" style="92" width="3.00390625" customWidth="1"/>
    <col min="4" max="4" style="265" width="6.00390625" customWidth="1"/>
    <col min="5" max="5" style="265" width="94.00390625" customWidth="1"/>
    <col min="6" max="12" style="265" width="8.00390625" customWidth="1"/>
    <col min="13" max="13" style="265" width="9.140625" hidden="1"/>
  </cols>
  <sheetData>
    <row customHeight="1" ht="14.25" hidden="1">
      <c r="L1" s="265"/>
      <c r="M1" s="70" t="s">
        <v>14</v>
      </c>
    </row>
    <row customHeight="1" ht="14.25" hidden="1">
      <c r="M2" s="70">
        <v>0</v>
      </c>
    </row>
    <row customHeight="1" ht="14.25" hidden="1">
      <c r="M3" s="70">
        <v>0</v>
      </c>
    </row>
    <row customHeight="1" ht="14.25" hidden="1">
      <c r="M4" s="70">
        <v>0</v>
      </c>
    </row>
    <row customHeight="1" ht="14.25" hidden="1">
      <c r="M5" s="70">
        <v>0</v>
      </c>
    </row>
    <row customHeight="1" ht="3">
      <c r="C6" s="93"/>
      <c r="D6" s="71"/>
      <c r="E6" s="71"/>
      <c r="M6" s="70">
        <v>3</v>
      </c>
    </row>
    <row customHeight="1" ht="23.25">
      <c r="C7" s="93"/>
      <c r="D7" s="2101" t="s">
        <v>1915</v>
      </c>
      <c r="E7" s="2101"/>
      <c r="F7" s="268"/>
      <c r="M7" s="70">
        <v>22</v>
      </c>
    </row>
    <row customHeight="1" ht="3">
      <c r="C8" s="93"/>
      <c r="D8" s="71"/>
      <c r="E8" s="71"/>
      <c r="M8" s="70">
        <v>3</v>
      </c>
    </row>
    <row customHeight="1" ht="16.8">
      <c r="C9" s="93"/>
      <c r="D9" s="106" t="s">
        <v>89</v>
      </c>
      <c r="E9" s="109" t="s">
        <v>304</v>
      </c>
      <c r="M9" s="70">
        <v>16</v>
      </c>
    </row>
    <row customHeight="1" ht="12.75">
      <c r="C10" s="93"/>
      <c r="D10" s="88" t="s">
        <v>118</v>
      </c>
      <c r="E10" s="88" t="s">
        <v>103</v>
      </c>
      <c r="M10" s="70">
        <v>12</v>
      </c>
    </row>
    <row customHeight="1" ht="15" hidden="1">
      <c r="C11" s="93"/>
      <c r="D11" s="114">
        <v>0</v>
      </c>
      <c r="E11" s="150"/>
      <c r="M11" s="70">
        <v>0</v>
      </c>
    </row>
    <row customHeight="1" ht="14.699999999999998">
      <c r="C12" s="93"/>
      <c r="D12" s="110"/>
      <c r="E12" s="108" t="s">
        <v>1913</v>
      </c>
      <c r="M12" s="70">
        <v>14</v>
      </c>
    </row>
    <row customHeight="1" ht="14.25" hidden="1">
      <c r="A13" s="70" t="s">
        <v>83</v>
      </c>
      <c r="B13" s="70">
        <v>0</v>
      </c>
      <c r="C13" s="92">
        <v>3</v>
      </c>
      <c r="D13" s="70">
        <v>6</v>
      </c>
      <c r="E13" s="70">
        <v>94</v>
      </c>
      <c r="F13" s="70">
        <v>8</v>
      </c>
      <c r="G13" s="70">
        <v>8</v>
      </c>
      <c r="H13" s="70">
        <v>8</v>
      </c>
      <c r="I13" s="70">
        <v>8</v>
      </c>
      <c r="J13" s="70">
        <v>8</v>
      </c>
      <c r="K13" s="70">
        <v>8</v>
      </c>
      <c r="L13" s="70">
        <v>8</v>
      </c>
      <c r="M13" s="70">
        <v>14</v>
      </c>
    </row>
  </sheetData>
  <sheetProtection formatColumns="0" formatRows="0" autoFilter="0" sort="0" insertRows="0" insertColumns="1" deleteRows="0" deleteColumns="0"/>
  <mergeCells count="1">
    <mergeCell ref="D7:E7"/>
  </mergeCells>
  <dataValidations count="1">
    <dataValidation type="textLength" operator="lessThanOrEqual" allowBlank="1" showInputMessage="1" showErrorMessage="1" errorTitle="Ошибка" error="Допускается ввод не более 900 символов!" sqref="E11">
      <formula1>900</formula1>
    </dataValidation>
  </dataValidations>
  <pageMargins left="0.75" right="0.75" top="1.00" bottom="1.00" header="0.50" footer="0.50"/>
  <pageSetup paperSize="9" scale="94" pageOrder="downThenOver" orientation="portrait"/>
  <headerFooter>
    <oddHeader>&amp;L&amp;C&amp;R</oddHeader>
    <oddFooter>&amp;L&amp;C&amp;R</oddFooter>
    <evenHeader>&amp;L&amp;C&amp;R</evenHeader>
    <evenFooter>&amp;L&amp;C&amp;R</even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566EF258-F691-B778-FA38-FA16E7C29138}" mc:Ignorable="x14ac xr xr2 xr3">
  <sheetPr>
    <tabColor rgb="FFCCCCFF"/>
  </sheetPr>
  <dimension ref="A1:BM50"/>
  <sheetViews>
    <sheetView showGridLines="0" zoomScale="90" workbookViewId="0">
      <pane xSplit="10" ySplit="10" topLeftCell="K11" activePane="bottomRight" state="frozen"/>
      <selection pane="bottomLeft" activeCell="A11" sqref="A11"/>
      <selection pane="topRight" activeCell="K1" sqref="K1"/>
      <selection pane="bottomRight" activeCell="A1" sqref="A1"/>
    </sheetView>
  </sheetViews>
  <sheetFormatPr defaultColWidth="9.140625" customHeight="1" defaultRowHeight="11.25"/>
  <cols>
    <col min="1" max="2" style="1851" width="9.140625" hidden="1"/>
    <col min="3" max="4" style="1851" width="3.00390625" customWidth="1"/>
    <col min="5" max="6" style="1851" width="15.00390625" customWidth="1"/>
    <col min="7" max="7" style="1851" width="11.57421875" customWidth="1"/>
    <col min="8" max="9" style="1851" width="3.00390625" customWidth="1"/>
    <col min="10" max="10" style="1851" width="12.00390625" customWidth="1"/>
    <col min="11" max="11" style="1851" width="0.28125" customWidth="1"/>
    <col min="12" max="13" style="1851" width="10.00390625" customWidth="1"/>
    <col min="14" max="15" style="1851" width="3.00390625" customWidth="1"/>
    <col min="16" max="16" style="1851" width="19.00390625" customWidth="1"/>
    <col min="17" max="17" style="1851" width="0.28125" customWidth="1"/>
    <col min="18" max="19" style="1851" width="10.00390625" customWidth="1"/>
    <col min="20" max="21" style="1851" width="3.00390625" customWidth="1"/>
    <col min="22" max="22" style="1851" width="25.00390625" customWidth="1"/>
    <col min="23" max="23" style="1851" width="0.28125" customWidth="1"/>
    <col min="24" max="25" style="1851" width="10.00390625" customWidth="1"/>
    <col min="26" max="27" style="1851" width="3.00390625" customWidth="1"/>
    <col min="28" max="28" style="1851" width="16.00390625" customWidth="1"/>
    <col min="29" max="29" style="1851" width="0.28125" customWidth="1"/>
    <col min="30" max="31" style="1851" width="10.00390625" customWidth="1"/>
    <col min="32" max="33" style="1851" width="3.00390625" customWidth="1"/>
    <col min="34" max="34" style="1851" width="8.00390625" customWidth="1"/>
    <col min="35" max="35" style="1851" width="21.00390625" customWidth="1"/>
    <col min="36" max="36" style="1851" width="8.00390625" customWidth="1"/>
    <col min="37" max="37" style="359" width="8.00390625" customWidth="1"/>
    <col min="38" max="64" style="1851" width="8.00390625" customWidth="1"/>
    <col min="65" max="65" style="1851" width="9.140625" hidden="1"/>
  </cols>
  <sheetData>
    <row s="1317" customFormat="1" customHeight="1" ht="11.25" hidden="1">
      <c r="AJ1" s="423"/>
      <c r="AK1" s="423"/>
      <c r="AL1" s="423"/>
      <c r="AM1" s="423"/>
      <c r="AN1" s="423"/>
      <c r="AO1" s="423"/>
      <c r="AP1" s="423"/>
      <c r="AQ1" s="423"/>
      <c r="AR1" s="423"/>
      <c r="AS1" s="423"/>
      <c r="AT1" s="423"/>
      <c r="AU1" s="423"/>
      <c r="AV1" s="423"/>
      <c r="AW1" s="423"/>
      <c r="AX1" s="423"/>
      <c r="AY1" s="423"/>
      <c r="AZ1" s="423"/>
      <c r="BA1" s="423"/>
      <c r="BB1" s="423"/>
      <c r="BC1" s="423"/>
      <c r="BD1" s="423"/>
      <c r="BE1" s="423"/>
      <c r="BF1" s="423"/>
      <c r="BG1" s="423"/>
      <c r="BH1" s="423"/>
      <c r="BI1" s="423"/>
      <c r="BJ1" s="423"/>
      <c r="BK1" s="423"/>
      <c r="BL1" s="423"/>
      <c r="BM1" s="420" t="s">
        <v>14</v>
      </c>
    </row>
    <row s="1554" customFormat="1" customHeight="1" ht="11.25" hidden="1">
      <c r="L2" s="1554" t="s">
        <v>296</v>
      </c>
      <c r="M2" s="1554" t="s">
        <v>297</v>
      </c>
      <c r="R2" s="1554" t="s">
        <v>298</v>
      </c>
      <c r="S2" s="1554" t="s">
        <v>297</v>
      </c>
      <c r="X2" s="1554" t="s">
        <v>296</v>
      </c>
      <c r="Y2" s="1554" t="s">
        <v>297</v>
      </c>
      <c r="AD2" s="1554" t="s">
        <v>296</v>
      </c>
      <c r="AE2" s="1554" t="s">
        <v>297</v>
      </c>
      <c r="AJ2" s="1576"/>
      <c r="AK2" s="1576"/>
      <c r="AL2" s="1576"/>
      <c r="AM2" s="1576"/>
      <c r="AN2" s="1576"/>
      <c r="AO2" s="1576"/>
      <c r="AP2" s="1576"/>
      <c r="AQ2" s="1576"/>
      <c r="AR2" s="1576"/>
      <c r="AS2" s="1576"/>
      <c r="AT2" s="1576"/>
      <c r="AU2" s="1576"/>
      <c r="AV2" s="1576"/>
      <c r="AW2" s="1576"/>
      <c r="AX2" s="1576"/>
      <c r="AY2" s="1576"/>
      <c r="AZ2" s="1576"/>
      <c r="BA2" s="1576"/>
      <c r="BB2" s="1576"/>
      <c r="BC2" s="1576"/>
      <c r="BD2" s="1576"/>
      <c r="BE2" s="1576"/>
      <c r="BF2" s="1576"/>
      <c r="BG2" s="1576"/>
      <c r="BH2" s="1576"/>
      <c r="BI2" s="1576"/>
      <c r="BJ2" s="1576"/>
      <c r="BK2" s="1576"/>
      <c r="BL2" s="1576"/>
      <c r="BM2" s="1554">
        <v>0</v>
      </c>
    </row>
    <row s="1555" customFormat="1" customHeight="1" ht="11.549999999999999">
      <c r="AJ3" s="1575"/>
      <c r="AK3" s="307"/>
      <c r="AL3" s="1575"/>
      <c r="AM3" s="1575"/>
      <c r="AN3" s="1575"/>
      <c r="AO3" s="1575"/>
      <c r="AP3" s="1575"/>
      <c r="AQ3" s="1575"/>
      <c r="AR3" s="1575"/>
      <c r="AS3" s="1575"/>
      <c r="AT3" s="1575"/>
      <c r="AU3" s="1575"/>
      <c r="AV3" s="1575"/>
      <c r="AW3" s="1575"/>
      <c r="AX3" s="1575"/>
      <c r="AY3" s="1575"/>
      <c r="AZ3" s="1575"/>
      <c r="BA3" s="1575"/>
      <c r="BB3" s="1575"/>
      <c r="BC3" s="1575"/>
      <c r="BD3" s="1575"/>
      <c r="BE3" s="1575"/>
      <c r="BF3" s="1575"/>
      <c r="BG3" s="1575"/>
      <c r="BH3" s="1575"/>
      <c r="BI3" s="1575"/>
      <c r="BJ3" s="1575"/>
      <c r="BK3" s="1575"/>
      <c r="BL3" s="1575"/>
      <c r="BM3" s="1555">
        <v>11</v>
      </c>
    </row>
    <row s="1820" customFormat="1" customHeight="1" ht="34.5">
      <c r="A4" s="1157"/>
      <c r="B4" s="1156"/>
      <c r="C4" s="1516"/>
      <c r="D4" s="2192" t="s">
        <v>299</v>
      </c>
      <c r="E4" s="2192"/>
      <c r="F4" s="2192"/>
      <c r="G4" s="2192"/>
      <c r="H4" s="2192"/>
      <c r="I4" s="2192"/>
      <c r="J4" s="2192"/>
      <c r="K4" s="700"/>
      <c r="T4" s="1556"/>
      <c r="AJ4" s="1577"/>
      <c r="AK4" s="1578"/>
      <c r="AL4" s="1577"/>
      <c r="AM4" s="1577"/>
      <c r="AN4" s="1577"/>
      <c r="AO4" s="1577"/>
      <c r="AP4" s="1577"/>
      <c r="AQ4" s="1577"/>
      <c r="AR4" s="1577"/>
      <c r="AS4" s="1577"/>
      <c r="AT4" s="1577"/>
      <c r="AU4" s="1577"/>
      <c r="AV4" s="1577"/>
      <c r="AW4" s="1577"/>
      <c r="AX4" s="1577"/>
      <c r="AY4" s="1577"/>
      <c r="AZ4" s="1577"/>
      <c r="BA4" s="1577"/>
      <c r="BB4" s="1577"/>
      <c r="BC4" s="1577"/>
      <c r="BD4" s="1577"/>
      <c r="BE4" s="1577"/>
      <c r="BF4" s="1577"/>
      <c r="BG4" s="1577"/>
      <c r="BH4" s="1577"/>
      <c r="BI4" s="1577"/>
      <c r="BJ4" s="1577"/>
      <c r="BK4" s="1577"/>
      <c r="BL4" s="1577"/>
      <c r="BM4" s="508">
        <v>33</v>
      </c>
    </row>
    <row s="1820" customFormat="1" customHeight="1" ht="14.699999999999998">
      <c r="A5" s="1633"/>
      <c r="B5" s="1632"/>
      <c r="C5" s="1516"/>
      <c r="D5" s="2177" t="str">
        <f>IF(org=0,"Не определено",org)</f>
        <v>ПАО "КГК"</v>
      </c>
      <c r="E5" s="2177"/>
      <c r="F5" s="2177"/>
      <c r="G5" s="2177"/>
      <c r="H5" s="2177"/>
      <c r="I5" s="2177"/>
      <c r="J5" s="2177"/>
      <c r="K5" s="700"/>
      <c r="T5" s="1556"/>
      <c r="AJ5" s="1577"/>
      <c r="AK5" s="1578"/>
      <c r="AL5" s="1577"/>
      <c r="AM5" s="1577"/>
      <c r="AN5" s="1577"/>
      <c r="AO5" s="1577"/>
      <c r="AP5" s="1577"/>
      <c r="AQ5" s="1577"/>
      <c r="AR5" s="1577"/>
      <c r="AS5" s="1577"/>
      <c r="AT5" s="1577"/>
      <c r="AU5" s="1577"/>
      <c r="AV5" s="1577"/>
      <c r="AW5" s="1577"/>
      <c r="AX5" s="1577"/>
      <c r="AY5" s="1577"/>
      <c r="AZ5" s="1577"/>
      <c r="BA5" s="1577"/>
      <c r="BB5" s="1577"/>
      <c r="BC5" s="1577"/>
      <c r="BD5" s="1577"/>
      <c r="BE5" s="1577"/>
      <c r="BF5" s="1577"/>
      <c r="BG5" s="1577"/>
      <c r="BH5" s="1577"/>
      <c r="BI5" s="1577"/>
      <c r="BJ5" s="1577"/>
      <c r="BK5" s="1577"/>
      <c r="BL5" s="1577"/>
      <c r="BM5" s="1610">
        <v>14</v>
      </c>
    </row>
    <row s="1820" customFormat="1" customHeight="1" ht="14.699999999999998">
      <c r="A6" s="1157"/>
      <c r="B6" s="1156"/>
      <c r="C6" s="1516"/>
      <c r="D6" s="700"/>
      <c r="E6" s="700"/>
      <c r="F6" s="700"/>
      <c r="G6" s="700"/>
      <c r="H6" s="700"/>
      <c r="I6" s="700"/>
      <c r="J6" s="700"/>
      <c r="K6" s="700"/>
      <c r="T6" s="1556"/>
      <c r="AJ6" s="1577"/>
      <c r="AK6" s="1578"/>
      <c r="AL6" s="1577"/>
      <c r="AM6" s="1577"/>
      <c r="AN6" s="1577"/>
      <c r="AO6" s="1577"/>
      <c r="AP6" s="1577"/>
      <c r="AQ6" s="1577"/>
      <c r="AR6" s="1577"/>
      <c r="AS6" s="1577"/>
      <c r="AT6" s="1577"/>
      <c r="AU6" s="1577"/>
      <c r="AV6" s="1577"/>
      <c r="AW6" s="1577"/>
      <c r="AX6" s="1577"/>
      <c r="AY6" s="1577"/>
      <c r="AZ6" s="1577"/>
      <c r="BA6" s="1577"/>
      <c r="BB6" s="1577"/>
      <c r="BC6" s="1577"/>
      <c r="BD6" s="1577"/>
      <c r="BE6" s="1577"/>
      <c r="BF6" s="1577"/>
      <c r="BG6" s="1577"/>
      <c r="BH6" s="1577"/>
      <c r="BI6" s="1577"/>
      <c r="BJ6" s="1577"/>
      <c r="BK6" s="1577"/>
      <c r="BL6" s="1577"/>
      <c r="BM6" s="508">
        <v>14</v>
      </c>
    </row>
    <row s="1317" customFormat="1" customHeight="1" ht="1.05">
      <c r="AJ7" s="423"/>
      <c r="AK7" s="423"/>
      <c r="AL7" s="423"/>
      <c r="AM7" s="423"/>
      <c r="AN7" s="423"/>
      <c r="AO7" s="423"/>
      <c r="AP7" s="423"/>
      <c r="AQ7" s="423"/>
      <c r="AR7" s="423"/>
      <c r="AS7" s="423"/>
      <c r="AT7" s="423"/>
      <c r="AU7" s="423"/>
      <c r="AV7" s="423"/>
      <c r="AW7" s="423"/>
      <c r="AX7" s="423"/>
      <c r="AY7" s="423"/>
      <c r="AZ7" s="423"/>
      <c r="BA7" s="423"/>
      <c r="BB7" s="423"/>
      <c r="BC7" s="423"/>
      <c r="BD7" s="423"/>
      <c r="BE7" s="423"/>
      <c r="BF7" s="423"/>
      <c r="BG7" s="423"/>
      <c r="BH7" s="423"/>
      <c r="BI7" s="423"/>
      <c r="BJ7" s="423"/>
      <c r="BK7" s="423"/>
      <c r="BL7" s="423"/>
      <c r="BM7" s="420">
        <v>1</v>
      </c>
    </row>
    <row customHeight="1" ht="33.75">
      <c r="D8" s="2128" t="s">
        <v>89</v>
      </c>
      <c r="E8" s="2128" t="s">
        <v>114</v>
      </c>
      <c r="F8" s="2193" t="s">
        <v>130</v>
      </c>
      <c r="G8" s="2194"/>
      <c r="H8" s="2193" t="s">
        <v>89</v>
      </c>
      <c r="I8" s="2194"/>
      <c r="J8" s="2128" t="s">
        <v>131</v>
      </c>
      <c r="K8" s="1557"/>
      <c r="L8" s="2197" t="s">
        <v>300</v>
      </c>
      <c r="M8" s="2197"/>
      <c r="N8" s="2197"/>
      <c r="O8" s="2197"/>
      <c r="P8" s="2197"/>
      <c r="Q8" s="1558"/>
      <c r="R8" s="2097" t="s">
        <v>301</v>
      </c>
      <c r="S8" s="2198"/>
      <c r="T8" s="2198"/>
      <c r="U8" s="2198"/>
      <c r="V8" s="2198"/>
      <c r="W8" s="1558"/>
      <c r="X8" s="2199" t="s">
        <v>302</v>
      </c>
      <c r="Y8" s="2199"/>
      <c r="Z8" s="2199"/>
      <c r="AA8" s="2199"/>
      <c r="AB8" s="2199"/>
      <c r="AC8" s="1559"/>
      <c r="AD8" s="2128" t="s">
        <v>303</v>
      </c>
      <c r="AE8" s="2128"/>
      <c r="AF8" s="2128"/>
      <c r="AG8" s="2128"/>
      <c r="AH8" s="2102"/>
      <c r="AI8" s="2128" t="s">
        <v>304</v>
      </c>
      <c r="AJ8" s="1575"/>
      <c r="BM8" s="294">
        <v>32</v>
      </c>
    </row>
    <row customHeight="1" ht="23.25">
      <c r="D9" s="2128"/>
      <c r="E9" s="2128"/>
      <c r="F9" s="2176" t="s">
        <v>90</v>
      </c>
      <c r="G9" s="2176" t="s">
        <v>136</v>
      </c>
      <c r="H9" s="2195"/>
      <c r="I9" s="2196"/>
      <c r="J9" s="2102"/>
      <c r="K9" s="1560"/>
      <c r="L9" s="2128" t="s">
        <v>305</v>
      </c>
      <c r="M9" s="2102"/>
      <c r="N9" s="2193" t="s">
        <v>89</v>
      </c>
      <c r="O9" s="2194"/>
      <c r="P9" s="2128" t="s">
        <v>137</v>
      </c>
      <c r="Q9" s="1557"/>
      <c r="R9" s="2128" t="s">
        <v>305</v>
      </c>
      <c r="S9" s="2102"/>
      <c r="T9" s="2193" t="s">
        <v>89</v>
      </c>
      <c r="U9" s="2194"/>
      <c r="V9" s="2128" t="s">
        <v>137</v>
      </c>
      <c r="W9" s="1557"/>
      <c r="X9" s="2128" t="s">
        <v>305</v>
      </c>
      <c r="Y9" s="2102"/>
      <c r="Z9" s="2193" t="s">
        <v>89</v>
      </c>
      <c r="AA9" s="2194"/>
      <c r="AB9" s="2128" t="s">
        <v>306</v>
      </c>
      <c r="AC9" s="1557"/>
      <c r="AD9" s="2128" t="s">
        <v>305</v>
      </c>
      <c r="AE9" s="2102"/>
      <c r="AF9" s="2193" t="s">
        <v>89</v>
      </c>
      <c r="AG9" s="2194"/>
      <c r="AH9" s="2102" t="s">
        <v>306</v>
      </c>
      <c r="AI9" s="2128"/>
      <c r="AJ9" s="1575"/>
      <c r="BM9" s="294">
        <v>22</v>
      </c>
    </row>
    <row customHeight="1" ht="24">
      <c r="D10" s="2176"/>
      <c r="E10" s="2176"/>
      <c r="F10" s="2200"/>
      <c r="G10" s="2200"/>
      <c r="H10" s="2201"/>
      <c r="I10" s="2202"/>
      <c r="J10" s="2193"/>
      <c r="K10" s="1560"/>
      <c r="L10" s="1579" t="s">
        <v>307</v>
      </c>
      <c r="M10" s="1574" t="s">
        <v>308</v>
      </c>
      <c r="N10" s="2195"/>
      <c r="O10" s="2196"/>
      <c r="P10" s="2176"/>
      <c r="Q10" s="1557"/>
      <c r="R10" s="1579" t="s">
        <v>307</v>
      </c>
      <c r="S10" s="1574" t="s">
        <v>308</v>
      </c>
      <c r="T10" s="2195"/>
      <c r="U10" s="2196"/>
      <c r="V10" s="2176"/>
      <c r="W10" s="1557"/>
      <c r="X10" s="1579" t="s">
        <v>307</v>
      </c>
      <c r="Y10" s="1574" t="s">
        <v>308</v>
      </c>
      <c r="Z10" s="2195"/>
      <c r="AA10" s="2196"/>
      <c r="AB10" s="2176"/>
      <c r="AC10" s="1557"/>
      <c r="AD10" s="1579" t="s">
        <v>307</v>
      </c>
      <c r="AE10" s="1574" t="s">
        <v>308</v>
      </c>
      <c r="AF10" s="2195"/>
      <c r="AG10" s="2196"/>
      <c r="AH10" s="2193"/>
      <c r="AI10" s="2176"/>
      <c r="AJ10" s="1575"/>
      <c r="AK10" s="255" t="s">
        <v>309</v>
      </c>
      <c r="AL10" s="255" t="s">
        <v>138</v>
      </c>
      <c r="BM10" s="294">
        <v>23</v>
      </c>
    </row>
    <row customHeight="1" ht="15">
      <c r="D11" s="2184" t="s">
        <v>118</v>
      </c>
      <c r="E11" s="2180" t="s">
        <v>310</v>
      </c>
      <c r="F11" s="2180" t="s">
        <v>311</v>
      </c>
      <c r="G11" s="2186" t="s">
        <v>19</v>
      </c>
      <c r="H11" s="1600"/>
      <c r="I11" s="2182"/>
      <c r="J11" s="2153"/>
      <c r="K11" s="1515"/>
      <c r="L11" s="2138"/>
      <c r="M11" s="2138"/>
      <c r="N11" s="1585"/>
      <c r="O11" s="2138"/>
      <c r="P11" s="2153"/>
      <c r="Q11" s="1586"/>
      <c r="R11" s="2138"/>
      <c r="S11" s="2138"/>
      <c r="T11" s="1587"/>
      <c r="U11" s="2138"/>
      <c r="V11" s="2153"/>
      <c r="W11" s="1588"/>
      <c r="X11" s="2138"/>
      <c r="Y11" s="2138"/>
      <c r="Z11" s="1585"/>
      <c r="AA11" s="2138"/>
      <c r="AB11" s="2153"/>
      <c r="AC11" s="1589"/>
      <c r="AD11" s="2138"/>
      <c r="AE11" s="2138"/>
      <c r="AF11" s="1514"/>
      <c r="AG11" s="1514"/>
      <c r="AH11" s="1590"/>
      <c r="AI11" s="1297"/>
      <c r="AJ11" s="1575"/>
      <c r="BM11" s="294">
        <v>14</v>
      </c>
    </row>
    <row customHeight="1" ht="14.699999999999998">
      <c r="D12" s="2184"/>
      <c r="E12" s="2180"/>
      <c r="F12" s="2180"/>
      <c r="G12" s="2187"/>
      <c r="H12" s="1601"/>
      <c r="I12" s="2183"/>
      <c r="J12" s="2154"/>
      <c r="K12" s="1611"/>
      <c r="L12" s="2139"/>
      <c r="M12" s="2139"/>
      <c r="N12" s="1591"/>
      <c r="O12" s="2139"/>
      <c r="P12" s="2154"/>
      <c r="Q12" s="1592"/>
      <c r="R12" s="2139"/>
      <c r="S12" s="2139"/>
      <c r="T12" s="1593"/>
      <c r="U12" s="2139"/>
      <c r="V12" s="2154"/>
      <c r="W12" s="1594"/>
      <c r="X12" s="2139"/>
      <c r="Y12" s="2139"/>
      <c r="Z12" s="1591"/>
      <c r="AA12" s="2139"/>
      <c r="AB12" s="2154"/>
      <c r="AC12" s="1595"/>
      <c r="AD12" s="2139"/>
      <c r="AE12" s="2139"/>
      <c r="AF12" s="1596"/>
      <c r="AG12" s="1596"/>
      <c r="AH12" s="2178"/>
      <c r="AI12" s="2179"/>
      <c r="AJ12" s="1575"/>
      <c r="BM12" s="294">
        <v>14</v>
      </c>
    </row>
    <row customHeight="1" ht="14.699999999999998">
      <c r="D13" s="2184"/>
      <c r="E13" s="2180"/>
      <c r="F13" s="2180"/>
      <c r="G13" s="2187"/>
      <c r="H13" s="1601"/>
      <c r="I13" s="2183"/>
      <c r="J13" s="2154"/>
      <c r="K13" s="1611"/>
      <c r="L13" s="2139"/>
      <c r="M13" s="2139"/>
      <c r="N13" s="1591"/>
      <c r="O13" s="2139"/>
      <c r="P13" s="2154"/>
      <c r="Q13" s="1592"/>
      <c r="R13" s="2139"/>
      <c r="S13" s="2139"/>
      <c r="T13" s="1593"/>
      <c r="U13" s="2139"/>
      <c r="V13" s="2154"/>
      <c r="W13" s="1594"/>
      <c r="X13" s="2139"/>
      <c r="Y13" s="2139"/>
      <c r="Z13" s="1513"/>
      <c r="AA13" s="1596"/>
      <c r="AB13" s="2178"/>
      <c r="AC13" s="2178"/>
      <c r="AD13" s="2178"/>
      <c r="AE13" s="2178"/>
      <c r="AF13" s="2178"/>
      <c r="AG13" s="2178"/>
      <c r="AH13" s="2178"/>
      <c r="AI13" s="2179"/>
      <c r="AJ13" s="1575"/>
      <c r="BM13" s="294">
        <v>14</v>
      </c>
    </row>
    <row customHeight="1" ht="14.699999999999998">
      <c r="D14" s="2184"/>
      <c r="E14" s="2180"/>
      <c r="F14" s="2180"/>
      <c r="G14" s="2187"/>
      <c r="H14" s="1601"/>
      <c r="I14" s="2183"/>
      <c r="J14" s="2154"/>
      <c r="K14" s="1611"/>
      <c r="L14" s="2139"/>
      <c r="M14" s="2139"/>
      <c r="N14" s="1591"/>
      <c r="O14" s="2139"/>
      <c r="P14" s="2154"/>
      <c r="Q14" s="1592"/>
      <c r="R14" s="2139"/>
      <c r="S14" s="2139"/>
      <c r="T14" s="1597"/>
      <c r="U14" s="1598"/>
      <c r="V14" s="2178"/>
      <c r="W14" s="2178"/>
      <c r="X14" s="2178"/>
      <c r="Y14" s="2178"/>
      <c r="Z14" s="2178"/>
      <c r="AA14" s="2178"/>
      <c r="AB14" s="2178"/>
      <c r="AC14" s="2178"/>
      <c r="AD14" s="2178"/>
      <c r="AE14" s="2178"/>
      <c r="AF14" s="2178"/>
      <c r="AG14" s="2178"/>
      <c r="AH14" s="2178"/>
      <c r="AI14" s="2179"/>
      <c r="AJ14" s="1575"/>
      <c r="BM14" s="294">
        <v>14</v>
      </c>
    </row>
    <row customHeight="1" ht="11.549999999999999">
      <c r="D15" s="2184"/>
      <c r="E15" s="2180"/>
      <c r="F15" s="2180"/>
      <c r="G15" s="2187"/>
      <c r="H15" s="1602"/>
      <c r="I15" s="2183"/>
      <c r="J15" s="2154"/>
      <c r="K15" s="1611"/>
      <c r="L15" s="2139"/>
      <c r="M15" s="2139"/>
      <c r="N15" s="1596"/>
      <c r="O15" s="1596"/>
      <c r="P15" s="2178"/>
      <c r="Q15" s="2178"/>
      <c r="R15" s="2178"/>
      <c r="S15" s="2178"/>
      <c r="T15" s="2178"/>
      <c r="U15" s="2178"/>
      <c r="V15" s="2178"/>
      <c r="W15" s="2178"/>
      <c r="X15" s="2178"/>
      <c r="Y15" s="2178"/>
      <c r="Z15" s="2178"/>
      <c r="AA15" s="2178"/>
      <c r="AB15" s="2178"/>
      <c r="AC15" s="2178"/>
      <c r="AD15" s="2178"/>
      <c r="AE15" s="2178"/>
      <c r="AF15" s="2178"/>
      <c r="AG15" s="2178"/>
      <c r="AH15" s="2178"/>
      <c r="AI15" s="2179"/>
      <c r="AJ15" s="1575"/>
      <c r="BM15" s="294">
        <v>11</v>
      </c>
    </row>
    <row s="1555" customFormat="1" customHeight="1" ht="11.549999999999999">
      <c r="D16" s="2190"/>
      <c r="E16" s="2191"/>
      <c r="F16" s="2181"/>
      <c r="G16" s="2113"/>
      <c r="H16" s="1599"/>
      <c r="I16" s="1603"/>
      <c r="J16" s="2188"/>
      <c r="K16" s="2188"/>
      <c r="L16" s="2188"/>
      <c r="M16" s="2188"/>
      <c r="N16" s="2188"/>
      <c r="O16" s="2188"/>
      <c r="P16" s="2188"/>
      <c r="Q16" s="2188"/>
      <c r="R16" s="2188"/>
      <c r="S16" s="2188"/>
      <c r="T16" s="2188"/>
      <c r="U16" s="2188"/>
      <c r="V16" s="2188"/>
      <c r="W16" s="2188"/>
      <c r="X16" s="2188"/>
      <c r="Y16" s="2188"/>
      <c r="Z16" s="2188"/>
      <c r="AA16" s="2188"/>
      <c r="AB16" s="2188"/>
      <c r="AC16" s="2188"/>
      <c r="AD16" s="2188"/>
      <c r="AE16" s="2188"/>
      <c r="AF16" s="2188"/>
      <c r="AG16" s="2188"/>
      <c r="AH16" s="2188"/>
      <c r="AI16" s="2189"/>
      <c r="AJ16" s="1575"/>
      <c r="AK16" s="307"/>
      <c r="AL16" s="1575"/>
      <c r="AM16" s="1575"/>
      <c r="AN16" s="1575"/>
      <c r="AO16" s="1575"/>
      <c r="AP16" s="1575"/>
      <c r="AQ16" s="1575"/>
      <c r="AR16" s="1575"/>
      <c r="AS16" s="1575"/>
      <c r="AT16" s="1575"/>
      <c r="AU16" s="1575"/>
      <c r="AV16" s="1575"/>
      <c r="AW16" s="1575"/>
      <c r="AX16" s="1575"/>
      <c r="AY16" s="1575"/>
      <c r="AZ16" s="1575"/>
      <c r="BA16" s="1575"/>
      <c r="BB16" s="1575"/>
      <c r="BC16" s="1575"/>
      <c r="BD16" s="1575"/>
      <c r="BE16" s="1575"/>
      <c r="BF16" s="1575"/>
      <c r="BG16" s="1575"/>
      <c r="BH16" s="1575"/>
      <c r="BI16" s="1575"/>
      <c r="BJ16" s="1575"/>
      <c r="BK16" s="1575"/>
      <c r="BL16" s="1575"/>
      <c r="BM16" s="1555">
        <v>11</v>
      </c>
    </row>
    <row customHeight="1" ht="15">
      <c r="D17" s="2184" t="s">
        <v>103</v>
      </c>
      <c r="E17" s="2180" t="s">
        <v>310</v>
      </c>
      <c r="F17" s="2180" t="s">
        <v>312</v>
      </c>
      <c r="G17" s="2186" t="s">
        <v>19</v>
      </c>
      <c r="H17" s="1600"/>
      <c r="I17" s="2182"/>
      <c r="J17" s="2153"/>
      <c r="K17" s="1515"/>
      <c r="L17" s="2138"/>
      <c r="M17" s="2138"/>
      <c r="N17" s="1585"/>
      <c r="O17" s="2138"/>
      <c r="P17" s="2153"/>
      <c r="Q17" s="1586"/>
      <c r="R17" s="2138"/>
      <c r="S17" s="2138"/>
      <c r="T17" s="1587"/>
      <c r="U17" s="2138"/>
      <c r="V17" s="2153"/>
      <c r="W17" s="1588"/>
      <c r="X17" s="2138"/>
      <c r="Y17" s="2138"/>
      <c r="Z17" s="1585"/>
      <c r="AA17" s="2138"/>
      <c r="AB17" s="2153"/>
      <c r="AC17" s="1589"/>
      <c r="AD17" s="2138"/>
      <c r="AE17" s="2138"/>
      <c r="AF17" s="1514"/>
      <c r="AG17" s="1514"/>
      <c r="AH17" s="1590"/>
      <c r="AI17" s="1297"/>
      <c r="AJ17" s="1575"/>
      <c r="BM17" s="294">
        <v>14</v>
      </c>
    </row>
    <row customHeight="1" ht="14.699999999999998">
      <c r="D18" s="2184"/>
      <c r="E18" s="2180"/>
      <c r="F18" s="2180"/>
      <c r="G18" s="2187"/>
      <c r="H18" s="1601"/>
      <c r="I18" s="2183"/>
      <c r="J18" s="2154"/>
      <c r="K18" s="1584"/>
      <c r="L18" s="2139"/>
      <c r="M18" s="2139"/>
      <c r="N18" s="1591"/>
      <c r="O18" s="2139"/>
      <c r="P18" s="2154"/>
      <c r="Q18" s="1592"/>
      <c r="R18" s="2139"/>
      <c r="S18" s="2139"/>
      <c r="T18" s="1593"/>
      <c r="U18" s="2139"/>
      <c r="V18" s="2154"/>
      <c r="W18" s="1594"/>
      <c r="X18" s="2139"/>
      <c r="Y18" s="2139"/>
      <c r="Z18" s="1591"/>
      <c r="AA18" s="2139"/>
      <c r="AB18" s="2154"/>
      <c r="AC18" s="1595"/>
      <c r="AD18" s="2139"/>
      <c r="AE18" s="2139"/>
      <c r="AF18" s="1596"/>
      <c r="AG18" s="1596"/>
      <c r="AH18" s="2178"/>
      <c r="AI18" s="2179"/>
      <c r="AJ18" s="1575"/>
      <c r="BM18" s="294">
        <v>14</v>
      </c>
    </row>
    <row customHeight="1" ht="14.699999999999998">
      <c r="D19" s="2184"/>
      <c r="E19" s="2180"/>
      <c r="F19" s="2180"/>
      <c r="G19" s="2187"/>
      <c r="H19" s="1601"/>
      <c r="I19" s="2183"/>
      <c r="J19" s="2154"/>
      <c r="K19" s="1584"/>
      <c r="L19" s="2139"/>
      <c r="M19" s="2139"/>
      <c r="N19" s="1591"/>
      <c r="O19" s="2139"/>
      <c r="P19" s="2154"/>
      <c r="Q19" s="1592"/>
      <c r="R19" s="2139"/>
      <c r="S19" s="2139"/>
      <c r="T19" s="1593"/>
      <c r="U19" s="2139"/>
      <c r="V19" s="2154"/>
      <c r="W19" s="1594"/>
      <c r="X19" s="2139"/>
      <c r="Y19" s="2139"/>
      <c r="Z19" s="1513"/>
      <c r="AA19" s="1596"/>
      <c r="AB19" s="2178"/>
      <c r="AC19" s="2178"/>
      <c r="AD19" s="2178"/>
      <c r="AE19" s="2178"/>
      <c r="AF19" s="2178"/>
      <c r="AG19" s="2178"/>
      <c r="AH19" s="2178"/>
      <c r="AI19" s="2179"/>
      <c r="AJ19" s="1575"/>
      <c r="BM19" s="294">
        <v>14</v>
      </c>
    </row>
    <row customHeight="1" ht="14.699999999999998">
      <c r="D20" s="2184"/>
      <c r="E20" s="2180"/>
      <c r="F20" s="2180"/>
      <c r="G20" s="2187"/>
      <c r="H20" s="1601"/>
      <c r="I20" s="2183"/>
      <c r="J20" s="2154"/>
      <c r="K20" s="1584"/>
      <c r="L20" s="2139"/>
      <c r="M20" s="2139"/>
      <c r="N20" s="1591"/>
      <c r="O20" s="2139"/>
      <c r="P20" s="2154"/>
      <c r="Q20" s="1592"/>
      <c r="R20" s="2139"/>
      <c r="S20" s="2139"/>
      <c r="T20" s="1597"/>
      <c r="U20" s="1598"/>
      <c r="V20" s="2178"/>
      <c r="W20" s="2178"/>
      <c r="X20" s="2178"/>
      <c r="Y20" s="2178"/>
      <c r="Z20" s="2178"/>
      <c r="AA20" s="2178"/>
      <c r="AB20" s="2178"/>
      <c r="AC20" s="2178"/>
      <c r="AD20" s="2178"/>
      <c r="AE20" s="2178"/>
      <c r="AF20" s="2178"/>
      <c r="AG20" s="2178"/>
      <c r="AH20" s="2178"/>
      <c r="AI20" s="2179"/>
      <c r="AJ20" s="1575"/>
      <c r="BM20" s="294">
        <v>14</v>
      </c>
    </row>
    <row customHeight="1" ht="11.549999999999999">
      <c r="D21" s="2184"/>
      <c r="E21" s="2180"/>
      <c r="F21" s="2180"/>
      <c r="G21" s="2187"/>
      <c r="H21" s="1602"/>
      <c r="I21" s="2183"/>
      <c r="J21" s="2154"/>
      <c r="K21" s="1584"/>
      <c r="L21" s="2139"/>
      <c r="M21" s="2139"/>
      <c r="N21" s="1596"/>
      <c r="O21" s="1596"/>
      <c r="P21" s="2178"/>
      <c r="Q21" s="2178"/>
      <c r="R21" s="2178"/>
      <c r="S21" s="2178"/>
      <c r="T21" s="2178"/>
      <c r="U21" s="2178"/>
      <c r="V21" s="2178"/>
      <c r="W21" s="2178"/>
      <c r="X21" s="2178"/>
      <c r="Y21" s="2178"/>
      <c r="Z21" s="2178"/>
      <c r="AA21" s="2178"/>
      <c r="AB21" s="2178"/>
      <c r="AC21" s="2178"/>
      <c r="AD21" s="2178"/>
      <c r="AE21" s="2178"/>
      <c r="AF21" s="2178"/>
      <c r="AG21" s="2178"/>
      <c r="AH21" s="2178"/>
      <c r="AI21" s="2179"/>
      <c r="AJ21" s="1575"/>
      <c r="BM21" s="294">
        <v>11</v>
      </c>
    </row>
    <row s="1555" customFormat="1" customHeight="1" ht="11.549999999999999">
      <c r="D22" s="2190"/>
      <c r="E22" s="2191"/>
      <c r="F22" s="2181"/>
      <c r="G22" s="2113"/>
      <c r="H22" s="1599"/>
      <c r="I22" s="1603"/>
      <c r="J22" s="2188"/>
      <c r="K22" s="2188"/>
      <c r="L22" s="2188"/>
      <c r="M22" s="2188"/>
      <c r="N22" s="2188"/>
      <c r="O22" s="2188"/>
      <c r="P22" s="2188"/>
      <c r="Q22" s="2188"/>
      <c r="R22" s="2188"/>
      <c r="S22" s="2188"/>
      <c r="T22" s="2188"/>
      <c r="U22" s="2188"/>
      <c r="V22" s="2188"/>
      <c r="W22" s="2188"/>
      <c r="X22" s="2188"/>
      <c r="Y22" s="2188"/>
      <c r="Z22" s="2188"/>
      <c r="AA22" s="2188"/>
      <c r="AB22" s="2188"/>
      <c r="AC22" s="2188"/>
      <c r="AD22" s="2188"/>
      <c r="AE22" s="2188"/>
      <c r="AF22" s="2188"/>
      <c r="AG22" s="2188"/>
      <c r="AH22" s="2188"/>
      <c r="AI22" s="2189"/>
      <c r="AJ22" s="1575"/>
      <c r="AK22" s="307"/>
      <c r="AL22" s="1575"/>
      <c r="AM22" s="1575"/>
      <c r="AN22" s="1575"/>
      <c r="AO22" s="1575"/>
      <c r="AP22" s="1575"/>
      <c r="AQ22" s="1575"/>
      <c r="AR22" s="1575"/>
      <c r="AS22" s="1575"/>
      <c r="AT22" s="1575"/>
      <c r="AU22" s="1575"/>
      <c r="AV22" s="1575"/>
      <c r="AW22" s="1575"/>
      <c r="AX22" s="1575"/>
      <c r="AY22" s="1575"/>
      <c r="AZ22" s="1575"/>
      <c r="BA22" s="1575"/>
      <c r="BB22" s="1575"/>
      <c r="BC22" s="1575"/>
      <c r="BD22" s="1575"/>
      <c r="BE22" s="1575"/>
      <c r="BF22" s="1575"/>
      <c r="BG22" s="1575"/>
      <c r="BH22" s="1575"/>
      <c r="BI22" s="1575"/>
      <c r="BJ22" s="1575"/>
      <c r="BK22" s="1575"/>
      <c r="BL22" s="1575"/>
      <c r="BM22" s="1555">
        <v>11</v>
      </c>
    </row>
    <row customHeight="1" ht="15">
      <c r="D23" s="2184" t="s">
        <v>91</v>
      </c>
      <c r="E23" s="2180" t="s">
        <v>310</v>
      </c>
      <c r="F23" s="2180" t="s">
        <v>313</v>
      </c>
      <c r="G23" s="2186" t="s">
        <v>19</v>
      </c>
      <c r="H23" s="1600"/>
      <c r="I23" s="2182"/>
      <c r="J23" s="2153"/>
      <c r="K23" s="1515"/>
      <c r="L23" s="2138"/>
      <c r="M23" s="2138"/>
      <c r="N23" s="1585"/>
      <c r="O23" s="2138"/>
      <c r="P23" s="2153"/>
      <c r="Q23" s="1586"/>
      <c r="R23" s="2138"/>
      <c r="S23" s="2138"/>
      <c r="T23" s="1587"/>
      <c r="U23" s="2138"/>
      <c r="V23" s="2153"/>
      <c r="W23" s="1588"/>
      <c r="X23" s="2138"/>
      <c r="Y23" s="2138"/>
      <c r="Z23" s="1585"/>
      <c r="AA23" s="2138"/>
      <c r="AB23" s="2153"/>
      <c r="AC23" s="1589"/>
      <c r="AD23" s="2138"/>
      <c r="AE23" s="2138"/>
      <c r="AF23" s="1514"/>
      <c r="AG23" s="1514"/>
      <c r="AH23" s="1590"/>
      <c r="AI23" s="1297"/>
      <c r="AJ23" s="1575"/>
      <c r="AK23" s="307" t="s">
        <v>99</v>
      </c>
      <c r="BM23" s="294">
        <v>14</v>
      </c>
    </row>
    <row customHeight="1" ht="14.699999999999998">
      <c r="D24" s="2184"/>
      <c r="E24" s="2180"/>
      <c r="F24" s="2180"/>
      <c r="G24" s="2187"/>
      <c r="H24" s="1601"/>
      <c r="I24" s="2183"/>
      <c r="J24" s="2154"/>
      <c r="K24" s="1611"/>
      <c r="L24" s="2139"/>
      <c r="M24" s="2139"/>
      <c r="N24" s="1591"/>
      <c r="O24" s="2139"/>
      <c r="P24" s="2154"/>
      <c r="Q24" s="1592"/>
      <c r="R24" s="2139"/>
      <c r="S24" s="2139"/>
      <c r="T24" s="1593"/>
      <c r="U24" s="2139"/>
      <c r="V24" s="2154"/>
      <c r="W24" s="1594"/>
      <c r="X24" s="2139"/>
      <c r="Y24" s="2139"/>
      <c r="Z24" s="1591"/>
      <c r="AA24" s="2139"/>
      <c r="AB24" s="2154"/>
      <c r="AC24" s="1595"/>
      <c r="AD24" s="2139"/>
      <c r="AE24" s="2139"/>
      <c r="AF24" s="1596"/>
      <c r="AG24" s="1596"/>
      <c r="AH24" s="2178"/>
      <c r="AI24" s="2179"/>
      <c r="AJ24" s="1575"/>
      <c r="BM24" s="294">
        <v>14</v>
      </c>
    </row>
    <row customHeight="1" ht="14.699999999999998">
      <c r="D25" s="2184"/>
      <c r="E25" s="2180"/>
      <c r="F25" s="2180"/>
      <c r="G25" s="2187"/>
      <c r="H25" s="1601"/>
      <c r="I25" s="2183"/>
      <c r="J25" s="2154"/>
      <c r="K25" s="1611"/>
      <c r="L25" s="2139"/>
      <c r="M25" s="2139"/>
      <c r="N25" s="1591"/>
      <c r="O25" s="2139"/>
      <c r="P25" s="2154"/>
      <c r="Q25" s="1592"/>
      <c r="R25" s="2139"/>
      <c r="S25" s="2139"/>
      <c r="T25" s="1593"/>
      <c r="U25" s="2139"/>
      <c r="V25" s="2154"/>
      <c r="W25" s="1594"/>
      <c r="X25" s="2139"/>
      <c r="Y25" s="2139"/>
      <c r="Z25" s="1513"/>
      <c r="AA25" s="1596"/>
      <c r="AB25" s="2178"/>
      <c r="AC25" s="2178"/>
      <c r="AD25" s="2178"/>
      <c r="AE25" s="2178"/>
      <c r="AF25" s="2178"/>
      <c r="AG25" s="2178"/>
      <c r="AH25" s="2178"/>
      <c r="AI25" s="2179"/>
      <c r="AJ25" s="1575"/>
      <c r="BM25" s="294">
        <v>14</v>
      </c>
    </row>
    <row customHeight="1" ht="14.699999999999998">
      <c r="D26" s="2184"/>
      <c r="E26" s="2180"/>
      <c r="F26" s="2180"/>
      <c r="G26" s="2187"/>
      <c r="H26" s="1601"/>
      <c r="I26" s="2183"/>
      <c r="J26" s="2154"/>
      <c r="K26" s="1611"/>
      <c r="L26" s="2139"/>
      <c r="M26" s="2139"/>
      <c r="N26" s="1591"/>
      <c r="O26" s="2139"/>
      <c r="P26" s="2154"/>
      <c r="Q26" s="1592"/>
      <c r="R26" s="2139"/>
      <c r="S26" s="2139"/>
      <c r="T26" s="1597"/>
      <c r="U26" s="1598"/>
      <c r="V26" s="2178"/>
      <c r="W26" s="2178"/>
      <c r="X26" s="2178"/>
      <c r="Y26" s="2178"/>
      <c r="Z26" s="2178"/>
      <c r="AA26" s="2178"/>
      <c r="AB26" s="2178"/>
      <c r="AC26" s="2178"/>
      <c r="AD26" s="2178"/>
      <c r="AE26" s="2178"/>
      <c r="AF26" s="2178"/>
      <c r="AG26" s="2178"/>
      <c r="AH26" s="2178"/>
      <c r="AI26" s="2179"/>
      <c r="AJ26" s="1575"/>
      <c r="BM26" s="294">
        <v>14</v>
      </c>
    </row>
    <row customHeight="1" ht="11.549999999999999">
      <c r="D27" s="2184"/>
      <c r="E27" s="2180"/>
      <c r="F27" s="2180"/>
      <c r="G27" s="2187"/>
      <c r="H27" s="1602"/>
      <c r="I27" s="2183"/>
      <c r="J27" s="2154"/>
      <c r="K27" s="1611"/>
      <c r="L27" s="2139"/>
      <c r="M27" s="2139"/>
      <c r="N27" s="1596"/>
      <c r="O27" s="1596"/>
      <c r="P27" s="2178"/>
      <c r="Q27" s="2178"/>
      <c r="R27" s="2178"/>
      <c r="S27" s="2178"/>
      <c r="T27" s="2178"/>
      <c r="U27" s="2178"/>
      <c r="V27" s="2178"/>
      <c r="W27" s="2178"/>
      <c r="X27" s="2178"/>
      <c r="Y27" s="2178"/>
      <c r="Z27" s="2178"/>
      <c r="AA27" s="2178"/>
      <c r="AB27" s="2178"/>
      <c r="AC27" s="2178"/>
      <c r="AD27" s="2178"/>
      <c r="AE27" s="2178"/>
      <c r="AF27" s="2178"/>
      <c r="AG27" s="2178"/>
      <c r="AH27" s="2178"/>
      <c r="AI27" s="2179"/>
      <c r="AJ27" s="1575"/>
      <c r="BM27" s="294">
        <v>11</v>
      </c>
    </row>
    <row s="1555" customFormat="1" customHeight="1" ht="11.549999999999999">
      <c r="D28" s="2190"/>
      <c r="E28" s="2191"/>
      <c r="F28" s="2181"/>
      <c r="G28" s="2113"/>
      <c r="H28" s="1599"/>
      <c r="I28" s="1603"/>
      <c r="J28" s="2188"/>
      <c r="K28" s="2188"/>
      <c r="L28" s="2188"/>
      <c r="M28" s="2188"/>
      <c r="N28" s="2188"/>
      <c r="O28" s="2188"/>
      <c r="P28" s="2188"/>
      <c r="Q28" s="2188"/>
      <c r="R28" s="2188"/>
      <c r="S28" s="2188"/>
      <c r="T28" s="2188"/>
      <c r="U28" s="2188"/>
      <c r="V28" s="2188"/>
      <c r="W28" s="2188"/>
      <c r="X28" s="2188"/>
      <c r="Y28" s="2188"/>
      <c r="Z28" s="2188"/>
      <c r="AA28" s="2188"/>
      <c r="AB28" s="2188"/>
      <c r="AC28" s="2188"/>
      <c r="AD28" s="2188"/>
      <c r="AE28" s="2188"/>
      <c r="AF28" s="2188"/>
      <c r="AG28" s="2188"/>
      <c r="AH28" s="2188"/>
      <c r="AI28" s="2189"/>
      <c r="AJ28" s="1575"/>
      <c r="AK28" s="307"/>
      <c r="AL28" s="1575"/>
      <c r="AM28" s="1575"/>
      <c r="AN28" s="1575"/>
      <c r="AO28" s="1575"/>
      <c r="AP28" s="1575"/>
      <c r="AQ28" s="1575"/>
      <c r="AR28" s="1575"/>
      <c r="AS28" s="1575"/>
      <c r="AT28" s="1575"/>
      <c r="AU28" s="1575"/>
      <c r="AV28" s="1575"/>
      <c r="AW28" s="1575"/>
      <c r="AX28" s="1575"/>
      <c r="AY28" s="1575"/>
      <c r="AZ28" s="1575"/>
      <c r="BA28" s="1575"/>
      <c r="BB28" s="1575"/>
      <c r="BC28" s="1575"/>
      <c r="BD28" s="1575"/>
      <c r="BE28" s="1575"/>
      <c r="BF28" s="1575"/>
      <c r="BG28" s="1575"/>
      <c r="BH28" s="1575"/>
      <c r="BI28" s="1575"/>
      <c r="BJ28" s="1575"/>
      <c r="BK28" s="1575"/>
      <c r="BL28" s="1575"/>
      <c r="BM28" s="1555">
        <v>11</v>
      </c>
    </row>
    <row customHeight="1" ht="15">
      <c r="D29" s="2184" t="s">
        <v>92</v>
      </c>
      <c r="E29" s="2180" t="s">
        <v>310</v>
      </c>
      <c r="F29" s="2180" t="s">
        <v>314</v>
      </c>
      <c r="G29" s="2186" t="s">
        <v>19</v>
      </c>
      <c r="H29" s="1600"/>
      <c r="I29" s="2182"/>
      <c r="J29" s="2153"/>
      <c r="K29" s="1515"/>
      <c r="L29" s="2138"/>
      <c r="M29" s="2138"/>
      <c r="N29" s="1585"/>
      <c r="O29" s="2138"/>
      <c r="P29" s="2153"/>
      <c r="Q29" s="1586"/>
      <c r="R29" s="2138"/>
      <c r="S29" s="2138"/>
      <c r="T29" s="1587"/>
      <c r="U29" s="2138"/>
      <c r="V29" s="2153"/>
      <c r="W29" s="1588"/>
      <c r="X29" s="2138"/>
      <c r="Y29" s="2138"/>
      <c r="Z29" s="1585"/>
      <c r="AA29" s="2138"/>
      <c r="AB29" s="2153"/>
      <c r="AC29" s="1589"/>
      <c r="AD29" s="2138"/>
      <c r="AE29" s="2138"/>
      <c r="AF29" s="1514"/>
      <c r="AG29" s="1514"/>
      <c r="AH29" s="1590"/>
      <c r="AI29" s="1297"/>
      <c r="AJ29" s="1575"/>
      <c r="BM29" s="294">
        <v>14</v>
      </c>
    </row>
    <row customHeight="1" ht="14.699999999999998">
      <c r="D30" s="2184"/>
      <c r="E30" s="2180"/>
      <c r="F30" s="2180"/>
      <c r="G30" s="2187"/>
      <c r="H30" s="1601"/>
      <c r="I30" s="2183"/>
      <c r="J30" s="2154"/>
      <c r="K30" s="1584"/>
      <c r="L30" s="2139"/>
      <c r="M30" s="2139"/>
      <c r="N30" s="1591"/>
      <c r="O30" s="2139"/>
      <c r="P30" s="2154"/>
      <c r="Q30" s="1592"/>
      <c r="R30" s="2139"/>
      <c r="S30" s="2139"/>
      <c r="T30" s="1593"/>
      <c r="U30" s="2139"/>
      <c r="V30" s="2154"/>
      <c r="W30" s="1594"/>
      <c r="X30" s="2139"/>
      <c r="Y30" s="2139"/>
      <c r="Z30" s="1591"/>
      <c r="AA30" s="2139"/>
      <c r="AB30" s="2154"/>
      <c r="AC30" s="1595"/>
      <c r="AD30" s="2139"/>
      <c r="AE30" s="2139"/>
      <c r="AF30" s="1596"/>
      <c r="AG30" s="1596"/>
      <c r="AH30" s="2178"/>
      <c r="AI30" s="2179"/>
      <c r="AJ30" s="1575"/>
      <c r="BM30" s="294">
        <v>14</v>
      </c>
    </row>
    <row customHeight="1" ht="14.699999999999998">
      <c r="D31" s="2184"/>
      <c r="E31" s="2180"/>
      <c r="F31" s="2180"/>
      <c r="G31" s="2187"/>
      <c r="H31" s="1601"/>
      <c r="I31" s="2183"/>
      <c r="J31" s="2154"/>
      <c r="K31" s="1584"/>
      <c r="L31" s="2139"/>
      <c r="M31" s="2139"/>
      <c r="N31" s="1591"/>
      <c r="O31" s="2139"/>
      <c r="P31" s="2154"/>
      <c r="Q31" s="1592"/>
      <c r="R31" s="2139"/>
      <c r="S31" s="2139"/>
      <c r="T31" s="1593"/>
      <c r="U31" s="2139"/>
      <c r="V31" s="2154"/>
      <c r="W31" s="1594"/>
      <c r="X31" s="2139"/>
      <c r="Y31" s="2139"/>
      <c r="Z31" s="1513"/>
      <c r="AA31" s="1596"/>
      <c r="AB31" s="2178"/>
      <c r="AC31" s="2178"/>
      <c r="AD31" s="2178"/>
      <c r="AE31" s="2178"/>
      <c r="AF31" s="2178"/>
      <c r="AG31" s="2178"/>
      <c r="AH31" s="2178"/>
      <c r="AI31" s="2179"/>
      <c r="AJ31" s="1575"/>
      <c r="BM31" s="294">
        <v>14</v>
      </c>
    </row>
    <row customHeight="1" ht="14.699999999999998">
      <c r="D32" s="2184"/>
      <c r="E32" s="2180"/>
      <c r="F32" s="2180"/>
      <c r="G32" s="2187"/>
      <c r="H32" s="1601"/>
      <c r="I32" s="2183"/>
      <c r="J32" s="2154"/>
      <c r="K32" s="1584"/>
      <c r="L32" s="2139"/>
      <c r="M32" s="2139"/>
      <c r="N32" s="1591"/>
      <c r="O32" s="2139"/>
      <c r="P32" s="2154"/>
      <c r="Q32" s="1592"/>
      <c r="R32" s="2139"/>
      <c r="S32" s="2139"/>
      <c r="T32" s="1597"/>
      <c r="U32" s="1598"/>
      <c r="V32" s="2178"/>
      <c r="W32" s="2178"/>
      <c r="X32" s="2178"/>
      <c r="Y32" s="2178"/>
      <c r="Z32" s="2178"/>
      <c r="AA32" s="2178"/>
      <c r="AB32" s="2178"/>
      <c r="AC32" s="2178"/>
      <c r="AD32" s="2178"/>
      <c r="AE32" s="2178"/>
      <c r="AF32" s="2178"/>
      <c r="AG32" s="2178"/>
      <c r="AH32" s="2178"/>
      <c r="AI32" s="2179"/>
      <c r="AJ32" s="1575"/>
      <c r="BM32" s="294">
        <v>14</v>
      </c>
    </row>
    <row customHeight="1" ht="11.549999999999999">
      <c r="D33" s="2184"/>
      <c r="E33" s="2180"/>
      <c r="F33" s="2180"/>
      <c r="G33" s="2187"/>
      <c r="H33" s="1602"/>
      <c r="I33" s="2183"/>
      <c r="J33" s="2154"/>
      <c r="K33" s="1584"/>
      <c r="L33" s="2139"/>
      <c r="M33" s="2139"/>
      <c r="N33" s="1596"/>
      <c r="O33" s="1596"/>
      <c r="P33" s="2178"/>
      <c r="Q33" s="2178"/>
      <c r="R33" s="2178"/>
      <c r="S33" s="2178"/>
      <c r="T33" s="2178"/>
      <c r="U33" s="2178"/>
      <c r="V33" s="2178"/>
      <c r="W33" s="2178"/>
      <c r="X33" s="2178"/>
      <c r="Y33" s="2178"/>
      <c r="Z33" s="2178"/>
      <c r="AA33" s="2178"/>
      <c r="AB33" s="2178"/>
      <c r="AC33" s="2178"/>
      <c r="AD33" s="2178"/>
      <c r="AE33" s="2178"/>
      <c r="AF33" s="2178"/>
      <c r="AG33" s="2178"/>
      <c r="AH33" s="2178"/>
      <c r="AI33" s="2179"/>
      <c r="AJ33" s="1575"/>
      <c r="BM33" s="294">
        <v>11</v>
      </c>
    </row>
    <row s="1555" customFormat="1" customHeight="1" ht="11.549999999999999">
      <c r="D34" s="2190"/>
      <c r="E34" s="2191"/>
      <c r="F34" s="2181"/>
      <c r="G34" s="2113"/>
      <c r="H34" s="1599"/>
      <c r="I34" s="1603"/>
      <c r="J34" s="2188"/>
      <c r="K34" s="2188"/>
      <c r="L34" s="2188"/>
      <c r="M34" s="2188"/>
      <c r="N34" s="2188"/>
      <c r="O34" s="2188"/>
      <c r="P34" s="2188"/>
      <c r="Q34" s="2188"/>
      <c r="R34" s="2188"/>
      <c r="S34" s="2188"/>
      <c r="T34" s="2188"/>
      <c r="U34" s="2188"/>
      <c r="V34" s="2188"/>
      <c r="W34" s="2188"/>
      <c r="X34" s="2188"/>
      <c r="Y34" s="2188"/>
      <c r="Z34" s="2188"/>
      <c r="AA34" s="2188"/>
      <c r="AB34" s="2188"/>
      <c r="AC34" s="2188"/>
      <c r="AD34" s="2188"/>
      <c r="AE34" s="2188"/>
      <c r="AF34" s="2188"/>
      <c r="AG34" s="2188"/>
      <c r="AH34" s="2188"/>
      <c r="AI34" s="2189"/>
      <c r="AJ34" s="1575"/>
      <c r="AK34" s="307"/>
      <c r="AL34" s="1575"/>
      <c r="AM34" s="1575"/>
      <c r="AN34" s="1575"/>
      <c r="AO34" s="1575"/>
      <c r="AP34" s="1575"/>
      <c r="AQ34" s="1575"/>
      <c r="AR34" s="1575"/>
      <c r="AS34" s="1575"/>
      <c r="AT34" s="1575"/>
      <c r="AU34" s="1575"/>
      <c r="AV34" s="1575"/>
      <c r="AW34" s="1575"/>
      <c r="AX34" s="1575"/>
      <c r="AY34" s="1575"/>
      <c r="AZ34" s="1575"/>
      <c r="BA34" s="1575"/>
      <c r="BB34" s="1575"/>
      <c r="BC34" s="1575"/>
      <c r="BD34" s="1575"/>
      <c r="BE34" s="1575"/>
      <c r="BF34" s="1575"/>
      <c r="BG34" s="1575"/>
      <c r="BH34" s="1575"/>
      <c r="BI34" s="1575"/>
      <c r="BJ34" s="1575"/>
      <c r="BK34" s="1575"/>
      <c r="BL34" s="1575"/>
      <c r="BM34" s="1555">
        <v>11</v>
      </c>
    </row>
    <row customHeight="1" ht="15">
      <c r="D35" s="2184" t="s">
        <v>119</v>
      </c>
      <c r="E35" s="2180" t="s">
        <v>310</v>
      </c>
      <c r="F35" s="2180" t="s">
        <v>315</v>
      </c>
      <c r="G35" s="2186" t="s">
        <v>19</v>
      </c>
      <c r="H35" s="1600"/>
      <c r="I35" s="2182"/>
      <c r="J35" s="2153"/>
      <c r="K35" s="1515"/>
      <c r="L35" s="2138"/>
      <c r="M35" s="2138"/>
      <c r="N35" s="1585"/>
      <c r="O35" s="2138"/>
      <c r="P35" s="2153"/>
      <c r="Q35" s="1586"/>
      <c r="R35" s="2138"/>
      <c r="S35" s="2138"/>
      <c r="T35" s="1587"/>
      <c r="U35" s="2138"/>
      <c r="V35" s="2153"/>
      <c r="W35" s="1588"/>
      <c r="X35" s="2138"/>
      <c r="Y35" s="2138"/>
      <c r="Z35" s="1585"/>
      <c r="AA35" s="2138"/>
      <c r="AB35" s="2153"/>
      <c r="AC35" s="1589"/>
      <c r="AD35" s="2138"/>
      <c r="AE35" s="2138"/>
      <c r="AF35" s="1514"/>
      <c r="AG35" s="1514"/>
      <c r="AH35" s="1590"/>
      <c r="AI35" s="1297"/>
      <c r="AJ35" s="1575"/>
      <c r="BM35" s="294">
        <v>14</v>
      </c>
    </row>
    <row customHeight="1" ht="14.699999999999998">
      <c r="D36" s="2184"/>
      <c r="E36" s="2180"/>
      <c r="F36" s="2180"/>
      <c r="G36" s="2187"/>
      <c r="H36" s="1601"/>
      <c r="I36" s="2183"/>
      <c r="J36" s="2154"/>
      <c r="K36" s="1584"/>
      <c r="L36" s="2139"/>
      <c r="M36" s="2139"/>
      <c r="N36" s="1591"/>
      <c r="O36" s="2139"/>
      <c r="P36" s="2154"/>
      <c r="Q36" s="1592"/>
      <c r="R36" s="2139"/>
      <c r="S36" s="2139"/>
      <c r="T36" s="1593"/>
      <c r="U36" s="2139"/>
      <c r="V36" s="2154"/>
      <c r="W36" s="1594"/>
      <c r="X36" s="2139"/>
      <c r="Y36" s="2139"/>
      <c r="Z36" s="1591"/>
      <c r="AA36" s="2139"/>
      <c r="AB36" s="2154"/>
      <c r="AC36" s="1595"/>
      <c r="AD36" s="2139"/>
      <c r="AE36" s="2139"/>
      <c r="AF36" s="1596"/>
      <c r="AG36" s="1596"/>
      <c r="AH36" s="2178"/>
      <c r="AI36" s="2179"/>
      <c r="AJ36" s="1575"/>
      <c r="BM36" s="294">
        <v>14</v>
      </c>
    </row>
    <row customHeight="1" ht="14.699999999999998">
      <c r="D37" s="2184"/>
      <c r="E37" s="2180"/>
      <c r="F37" s="2180"/>
      <c r="G37" s="2187"/>
      <c r="H37" s="1601"/>
      <c r="I37" s="2183"/>
      <c r="J37" s="2154"/>
      <c r="K37" s="1584"/>
      <c r="L37" s="2139"/>
      <c r="M37" s="2139"/>
      <c r="N37" s="1591"/>
      <c r="O37" s="2139"/>
      <c r="P37" s="2154"/>
      <c r="Q37" s="1592"/>
      <c r="R37" s="2139"/>
      <c r="S37" s="2139"/>
      <c r="T37" s="1593"/>
      <c r="U37" s="2139"/>
      <c r="V37" s="2154"/>
      <c r="W37" s="1594"/>
      <c r="X37" s="2139"/>
      <c r="Y37" s="2139"/>
      <c r="Z37" s="1513"/>
      <c r="AA37" s="1596"/>
      <c r="AB37" s="2178"/>
      <c r="AC37" s="2178"/>
      <c r="AD37" s="2178"/>
      <c r="AE37" s="2178"/>
      <c r="AF37" s="2178"/>
      <c r="AG37" s="2178"/>
      <c r="AH37" s="2178"/>
      <c r="AI37" s="2179"/>
      <c r="AJ37" s="1575"/>
      <c r="BM37" s="294">
        <v>14</v>
      </c>
    </row>
    <row customHeight="1" ht="14.699999999999998">
      <c r="D38" s="2184"/>
      <c r="E38" s="2180"/>
      <c r="F38" s="2180"/>
      <c r="G38" s="2187"/>
      <c r="H38" s="1601"/>
      <c r="I38" s="2183"/>
      <c r="J38" s="2154"/>
      <c r="K38" s="1584"/>
      <c r="L38" s="2139"/>
      <c r="M38" s="2139"/>
      <c r="N38" s="1591"/>
      <c r="O38" s="2139"/>
      <c r="P38" s="2154"/>
      <c r="Q38" s="1592"/>
      <c r="R38" s="2139"/>
      <c r="S38" s="2139"/>
      <c r="T38" s="1597"/>
      <c r="U38" s="1598"/>
      <c r="V38" s="2178"/>
      <c r="W38" s="2178"/>
      <c r="X38" s="2178"/>
      <c r="Y38" s="2178"/>
      <c r="Z38" s="2178"/>
      <c r="AA38" s="2178"/>
      <c r="AB38" s="2178"/>
      <c r="AC38" s="2178"/>
      <c r="AD38" s="2178"/>
      <c r="AE38" s="2178"/>
      <c r="AF38" s="2178"/>
      <c r="AG38" s="2178"/>
      <c r="AH38" s="2178"/>
      <c r="AI38" s="2179"/>
      <c r="AJ38" s="1575"/>
      <c r="BM38" s="294">
        <v>14</v>
      </c>
    </row>
    <row customHeight="1" ht="11.549999999999999">
      <c r="D39" s="2184"/>
      <c r="E39" s="2180"/>
      <c r="F39" s="2180"/>
      <c r="G39" s="2187"/>
      <c r="H39" s="1602"/>
      <c r="I39" s="2183"/>
      <c r="J39" s="2154"/>
      <c r="K39" s="1584"/>
      <c r="L39" s="2139"/>
      <c r="M39" s="2139"/>
      <c r="N39" s="1596"/>
      <c r="O39" s="1596"/>
      <c r="P39" s="2178"/>
      <c r="Q39" s="2178"/>
      <c r="R39" s="2178"/>
      <c r="S39" s="2178"/>
      <c r="T39" s="2178"/>
      <c r="U39" s="2178"/>
      <c r="V39" s="2178"/>
      <c r="W39" s="2178"/>
      <c r="X39" s="2178"/>
      <c r="Y39" s="2178"/>
      <c r="Z39" s="2178"/>
      <c r="AA39" s="2178"/>
      <c r="AB39" s="2178"/>
      <c r="AC39" s="2178"/>
      <c r="AD39" s="2178"/>
      <c r="AE39" s="2178"/>
      <c r="AF39" s="2178"/>
      <c r="AG39" s="2178"/>
      <c r="AH39" s="2178"/>
      <c r="AI39" s="2179"/>
      <c r="AJ39" s="1575"/>
      <c r="BM39" s="294">
        <v>11</v>
      </c>
    </row>
    <row s="1555" customFormat="1" customHeight="1" ht="11.549999999999999">
      <c r="D40" s="2184"/>
      <c r="E40" s="2180"/>
      <c r="F40" s="2185"/>
      <c r="G40" s="2113"/>
      <c r="H40" s="1599"/>
      <c r="I40" s="1603"/>
      <c r="J40" s="2188"/>
      <c r="K40" s="2188"/>
      <c r="L40" s="2188"/>
      <c r="M40" s="2188"/>
      <c r="N40" s="2188"/>
      <c r="O40" s="2188"/>
      <c r="P40" s="2188"/>
      <c r="Q40" s="2188"/>
      <c r="R40" s="2188"/>
      <c r="S40" s="2188"/>
      <c r="T40" s="2188"/>
      <c r="U40" s="2188"/>
      <c r="V40" s="2188"/>
      <c r="W40" s="2188"/>
      <c r="X40" s="2188"/>
      <c r="Y40" s="2188"/>
      <c r="Z40" s="2188"/>
      <c r="AA40" s="2188"/>
      <c r="AB40" s="2188"/>
      <c r="AC40" s="2188"/>
      <c r="AD40" s="2188"/>
      <c r="AE40" s="2188"/>
      <c r="AF40" s="2188"/>
      <c r="AG40" s="2188"/>
      <c r="AH40" s="2188"/>
      <c r="AI40" s="2189"/>
      <c r="AJ40" s="1575"/>
      <c r="AK40" s="307"/>
      <c r="AL40" s="1575"/>
      <c r="AM40" s="1575"/>
      <c r="AN40" s="1575"/>
      <c r="AO40" s="1575"/>
      <c r="AP40" s="1575"/>
      <c r="AQ40" s="1575"/>
      <c r="AR40" s="1575"/>
      <c r="AS40" s="1575"/>
      <c r="AT40" s="1575"/>
      <c r="AU40" s="1575"/>
      <c r="AV40" s="1575"/>
      <c r="AW40" s="1575"/>
      <c r="AX40" s="1575"/>
      <c r="AY40" s="1575"/>
      <c r="AZ40" s="1575"/>
      <c r="BA40" s="1575"/>
      <c r="BB40" s="1575"/>
      <c r="BC40" s="1575"/>
      <c r="BD40" s="1575"/>
      <c r="BE40" s="1575"/>
      <c r="BF40" s="1575"/>
      <c r="BG40" s="1575"/>
      <c r="BH40" s="1575"/>
      <c r="BI40" s="1575"/>
      <c r="BJ40" s="1575"/>
      <c r="BK40" s="1575"/>
      <c r="BL40" s="1575"/>
      <c r="BM40" s="1555">
        <v>11</v>
      </c>
    </row>
    <row customHeight="1" ht="11.549999999999999">
      <c r="AK41" s="424"/>
      <c r="BM41" s="294">
        <v>11</v>
      </c>
    </row>
    <row customHeight="1" ht="11.549999999999999">
      <c r="AK42" s="424"/>
      <c r="BM42" s="294">
        <v>11</v>
      </c>
    </row>
    <row customHeight="1" ht="11.549999999999999">
      <c r="AK43" s="424"/>
      <c r="BM43" s="294">
        <v>11</v>
      </c>
    </row>
    <row customHeight="1" ht="11.549999999999999">
      <c r="AK44" s="424"/>
      <c r="BM44" s="294">
        <v>11</v>
      </c>
    </row>
    <row customHeight="1" ht="11.549999999999999">
      <c r="AK45" s="424"/>
      <c r="BM45" s="294">
        <v>11</v>
      </c>
    </row>
    <row customHeight="1" ht="11.549999999999999">
      <c r="AK46" s="424"/>
      <c r="BM46" s="294">
        <v>11</v>
      </c>
    </row>
    <row customHeight="1" ht="11.549999999999999">
      <c r="AK47" s="424"/>
      <c r="BM47" s="294">
        <v>11</v>
      </c>
    </row>
    <row customHeight="1" ht="11.549999999999999">
      <c r="AK48" s="424"/>
      <c r="BM48" s="294">
        <v>11</v>
      </c>
    </row>
    <row customHeight="1" ht="11.549999999999999">
      <c r="AK49" s="424"/>
      <c r="BM49" s="294">
        <v>11</v>
      </c>
    </row>
    <row customHeight="1" ht="11.25" hidden="1">
      <c r="A50" s="294" t="s">
        <v>83</v>
      </c>
      <c r="B50" s="294">
        <v>0</v>
      </c>
      <c r="C50" s="294">
        <v>3</v>
      </c>
      <c r="D50" s="294">
        <v>3</v>
      </c>
      <c r="E50" s="294">
        <v>15</v>
      </c>
      <c r="F50" s="294">
        <v>15</v>
      </c>
      <c r="G50" s="294">
        <v>11</v>
      </c>
      <c r="H50" s="294">
        <v>3</v>
      </c>
      <c r="I50" s="294">
        <v>3</v>
      </c>
      <c r="J50" s="294">
        <v>12</v>
      </c>
      <c r="K50" s="294">
        <v>0</v>
      </c>
      <c r="L50" s="294">
        <v>10</v>
      </c>
      <c r="M50" s="294">
        <v>10</v>
      </c>
      <c r="N50" s="294">
        <v>3</v>
      </c>
      <c r="O50" s="294">
        <v>3</v>
      </c>
      <c r="P50" s="294">
        <v>19</v>
      </c>
      <c r="Q50" s="294">
        <v>0</v>
      </c>
      <c r="R50" s="294">
        <v>10</v>
      </c>
      <c r="S50" s="294">
        <v>10</v>
      </c>
      <c r="T50" s="294">
        <v>3</v>
      </c>
      <c r="U50" s="294">
        <v>3</v>
      </c>
      <c r="V50" s="294">
        <v>25</v>
      </c>
      <c r="W50" s="294">
        <v>0</v>
      </c>
      <c r="X50" s="294">
        <v>10</v>
      </c>
      <c r="Y50" s="294">
        <v>10</v>
      </c>
      <c r="Z50" s="294">
        <v>3</v>
      </c>
      <c r="AA50" s="294">
        <v>3</v>
      </c>
      <c r="AB50" s="294">
        <v>16</v>
      </c>
      <c r="AC50" s="294">
        <v>0</v>
      </c>
      <c r="AD50" s="294">
        <v>10</v>
      </c>
      <c r="AE50" s="294">
        <v>10</v>
      </c>
      <c r="AF50" s="294">
        <v>3</v>
      </c>
      <c r="AG50" s="294">
        <v>3</v>
      </c>
      <c r="AH50" s="294">
        <v>8</v>
      </c>
      <c r="AI50" s="294">
        <v>21</v>
      </c>
      <c r="AJ50" s="424">
        <v>8</v>
      </c>
      <c r="AK50" s="307">
        <v>8</v>
      </c>
      <c r="AL50" s="424">
        <v>8</v>
      </c>
      <c r="AM50" s="424">
        <v>8</v>
      </c>
      <c r="AN50" s="424">
        <v>8</v>
      </c>
      <c r="AO50" s="424">
        <v>8</v>
      </c>
      <c r="AP50" s="424">
        <v>8</v>
      </c>
      <c r="AQ50" s="424">
        <v>8</v>
      </c>
      <c r="AR50" s="424">
        <v>8</v>
      </c>
      <c r="AS50" s="424">
        <v>8</v>
      </c>
      <c r="AT50" s="424">
        <v>8</v>
      </c>
      <c r="AU50" s="424">
        <v>8</v>
      </c>
      <c r="AV50" s="424">
        <v>8</v>
      </c>
      <c r="AW50" s="424">
        <v>8</v>
      </c>
      <c r="AX50" s="424">
        <v>8</v>
      </c>
      <c r="AY50" s="424">
        <v>8</v>
      </c>
      <c r="AZ50" s="424">
        <v>8</v>
      </c>
      <c r="BA50" s="424">
        <v>8</v>
      </c>
      <c r="BB50" s="424">
        <v>8</v>
      </c>
      <c r="BC50" s="424">
        <v>8</v>
      </c>
      <c r="BD50" s="424">
        <v>8</v>
      </c>
      <c r="BE50" s="424">
        <v>8</v>
      </c>
      <c r="BF50" s="424">
        <v>8</v>
      </c>
      <c r="BG50" s="424">
        <v>8</v>
      </c>
      <c r="BH50" s="424">
        <v>8</v>
      </c>
      <c r="BI50" s="424">
        <v>8</v>
      </c>
      <c r="BJ50" s="424">
        <v>8</v>
      </c>
      <c r="BK50" s="424">
        <v>8</v>
      </c>
      <c r="BL50" s="424">
        <v>8</v>
      </c>
      <c r="BM50" s="294">
        <v>11</v>
      </c>
    </row>
  </sheetData>
  <sheetProtection formatColumns="0" formatRows="0" autoFilter="0" sort="0" insertRows="0" insertColumns="1" deleteRows="0" deleteColumns="0"/>
  <mergeCells count="151">
    <mergeCell ref="D4:J4"/>
    <mergeCell ref="D8:D10"/>
    <mergeCell ref="E8:E10"/>
    <mergeCell ref="J8:J10"/>
    <mergeCell ref="AH9:AH10"/>
    <mergeCell ref="Z9:AA10"/>
    <mergeCell ref="AF9:AG10"/>
    <mergeCell ref="X9:Y9"/>
    <mergeCell ref="V9:V10"/>
    <mergeCell ref="T9:U10"/>
    <mergeCell ref="L8:P8"/>
    <mergeCell ref="R8:V8"/>
    <mergeCell ref="X8:AB8"/>
    <mergeCell ref="AD8:AH8"/>
    <mergeCell ref="F8:G8"/>
    <mergeCell ref="F9:F10"/>
    <mergeCell ref="G9:G10"/>
    <mergeCell ref="N9:O10"/>
    <mergeCell ref="H8:I10"/>
    <mergeCell ref="AB9:AB10"/>
    <mergeCell ref="AD9:AE9"/>
    <mergeCell ref="D17:D22"/>
    <mergeCell ref="E17:E22"/>
    <mergeCell ref="F17:F22"/>
    <mergeCell ref="G17:G22"/>
    <mergeCell ref="I17:I21"/>
    <mergeCell ref="J17:J21"/>
    <mergeCell ref="J22:AI22"/>
    <mergeCell ref="P15:AI15"/>
    <mergeCell ref="J16:AI16"/>
    <mergeCell ref="G11:G16"/>
    <mergeCell ref="D11:D16"/>
    <mergeCell ref="E11:E16"/>
    <mergeCell ref="S17:S20"/>
    <mergeCell ref="AB11:AB12"/>
    <mergeCell ref="AD11:AD12"/>
    <mergeCell ref="AE11:AE12"/>
    <mergeCell ref="AH12:AI12"/>
    <mergeCell ref="D23:D28"/>
    <mergeCell ref="E23:E28"/>
    <mergeCell ref="F23:F28"/>
    <mergeCell ref="G23:G28"/>
    <mergeCell ref="I23:I27"/>
    <mergeCell ref="J23:J27"/>
    <mergeCell ref="J28:AI28"/>
    <mergeCell ref="AD17:AD18"/>
    <mergeCell ref="AE17:AE18"/>
    <mergeCell ref="AH18:AI18"/>
    <mergeCell ref="AB19:AI19"/>
    <mergeCell ref="V20:AI20"/>
    <mergeCell ref="P21:AI21"/>
    <mergeCell ref="U17:U19"/>
    <mergeCell ref="V17:V19"/>
    <mergeCell ref="X17:X19"/>
    <mergeCell ref="Y17:Y19"/>
    <mergeCell ref="AA17:AA18"/>
    <mergeCell ref="AB17:AB18"/>
    <mergeCell ref="L17:L21"/>
    <mergeCell ref="M17:M21"/>
    <mergeCell ref="O17:O20"/>
    <mergeCell ref="P17:P20"/>
    <mergeCell ref="R17:R20"/>
    <mergeCell ref="AH24:AI24"/>
    <mergeCell ref="AB25:AI25"/>
    <mergeCell ref="V26:AI26"/>
    <mergeCell ref="P27:AI27"/>
    <mergeCell ref="U23:U25"/>
    <mergeCell ref="V23:V25"/>
    <mergeCell ref="X23:X25"/>
    <mergeCell ref="Y23:Y25"/>
    <mergeCell ref="L23:L27"/>
    <mergeCell ref="M23:M27"/>
    <mergeCell ref="L29:L33"/>
    <mergeCell ref="M29:M33"/>
    <mergeCell ref="O29:O32"/>
    <mergeCell ref="P29:P32"/>
    <mergeCell ref="R29:R32"/>
    <mergeCell ref="S29:S32"/>
    <mergeCell ref="D29:D34"/>
    <mergeCell ref="E29:E34"/>
    <mergeCell ref="F29:F34"/>
    <mergeCell ref="G29:G34"/>
    <mergeCell ref="I29:I33"/>
    <mergeCell ref="J29:J33"/>
    <mergeCell ref="J34:AI34"/>
    <mergeCell ref="AD29:AD30"/>
    <mergeCell ref="AE29:AE30"/>
    <mergeCell ref="AH30:AI30"/>
    <mergeCell ref="AB31:AI31"/>
    <mergeCell ref="V32:AI32"/>
    <mergeCell ref="P33:AI33"/>
    <mergeCell ref="U29:U31"/>
    <mergeCell ref="V29:V31"/>
    <mergeCell ref="X29:X31"/>
    <mergeCell ref="Y29:Y31"/>
    <mergeCell ref="AA29:AA30"/>
    <mergeCell ref="L35:L39"/>
    <mergeCell ref="M35:M39"/>
    <mergeCell ref="O35:O38"/>
    <mergeCell ref="P35:P38"/>
    <mergeCell ref="R35:R38"/>
    <mergeCell ref="S35:S38"/>
    <mergeCell ref="D35:D40"/>
    <mergeCell ref="E35:E40"/>
    <mergeCell ref="F35:F40"/>
    <mergeCell ref="G35:G40"/>
    <mergeCell ref="I35:I39"/>
    <mergeCell ref="J35:J39"/>
    <mergeCell ref="J40:AI40"/>
    <mergeCell ref="AD35:AD36"/>
    <mergeCell ref="AE35:AE36"/>
    <mergeCell ref="AH36:AI36"/>
    <mergeCell ref="AB37:AI37"/>
    <mergeCell ref="V38:AI38"/>
    <mergeCell ref="P39:AI39"/>
    <mergeCell ref="U35:U37"/>
    <mergeCell ref="V35:V37"/>
    <mergeCell ref="X35:X37"/>
    <mergeCell ref="Y35:Y37"/>
    <mergeCell ref="AA35:AA36"/>
    <mergeCell ref="AB35:AB36"/>
    <mergeCell ref="O23:O26"/>
    <mergeCell ref="P23:P26"/>
    <mergeCell ref="R23:R26"/>
    <mergeCell ref="S23:S26"/>
    <mergeCell ref="AB23:AB24"/>
    <mergeCell ref="AD23:AD24"/>
    <mergeCell ref="AE23:AE24"/>
    <mergeCell ref="AA23:AA24"/>
    <mergeCell ref="AB29:AB30"/>
    <mergeCell ref="AI8:AI10"/>
    <mergeCell ref="D5:J5"/>
    <mergeCell ref="AB13:AI13"/>
    <mergeCell ref="Y11:Y13"/>
    <mergeCell ref="X11:X13"/>
    <mergeCell ref="AA11:AA12"/>
    <mergeCell ref="R11:R14"/>
    <mergeCell ref="S11:S14"/>
    <mergeCell ref="U11:U13"/>
    <mergeCell ref="V11:V13"/>
    <mergeCell ref="V14:AI14"/>
    <mergeCell ref="F11:F16"/>
    <mergeCell ref="I11:I15"/>
    <mergeCell ref="J11:J15"/>
    <mergeCell ref="L11:L15"/>
    <mergeCell ref="M11:M15"/>
    <mergeCell ref="O11:O14"/>
    <mergeCell ref="P11:P14"/>
    <mergeCell ref="L9:M9"/>
    <mergeCell ref="P9:P10"/>
    <mergeCell ref="R9:S9"/>
  </mergeCells>
  <dataValidations count="2">
    <dataValidation type="list" errorStyle="warning" allowBlank="1" showInputMessage="1" errorTitle="Ошибка" error="Выберите значение из списка" prompt="Выберите значение из списка или укажите свой вид твердых коммунальных отходов" sqref="AC17 AC23 AC35 AC29 AC11">
      <formula1>list_typeTKO</formula1>
    </dataValidation>
    <dataValidation type="textLength" operator="lessThanOrEqual" allowBlank="1" showInputMessage="1" showErrorMessage="1" errorTitle="Ошибка" error="Допускается ввод не более 900 символов!" sqref="AI29 AI23 P17:P20 J23:J27 J29:J33 AI35 J35:J39 P35:P38 P29:P32 AI17 J17:J21 P23:P26 AI11 J11:J15 P11:P14">
      <formula1>900</formula1>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6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7C3DE6E5-69F8-1E48-4371-51040BA477F8}" mc:Ignorable="x14ac xr xr2 xr3">
  <sheetPr>
    <tabColor rgb="FFCCCCFF"/>
  </sheetPr>
  <dimension ref="A1:F5"/>
  <sheetViews>
    <sheetView topLeftCell="A1" showGridLines="0" zoomScale="90" workbookViewId="0">
      <selection activeCell="A1" sqref="A1"/>
    </sheetView>
  </sheetViews>
  <sheetFormatPr defaultColWidth="9.140625" customHeight="1" defaultRowHeight="11.25"/>
  <cols>
    <col min="1" max="1" style="1851" width="1.7109375" customWidth="1"/>
    <col min="2" max="2" style="1851" width="34.57421875" customWidth="1"/>
    <col min="3" max="3" style="1851" width="85.00390625" customWidth="1"/>
    <col min="4" max="4" style="1851" width="17.00390625" customWidth="1"/>
    <col min="5" max="5" style="1851" width="8.00390625" customWidth="1"/>
    <col min="6" max="6" style="1851" width="9.140625" hidden="1"/>
  </cols>
  <sheetData>
    <row customHeight="1" ht="3">
      <c r="F1" s="90" t="s">
        <v>14</v>
      </c>
    </row>
    <row customHeight="1" ht="22.5">
      <c r="B2" s="2614" t="s">
        <v>1916</v>
      </c>
      <c r="C2" s="2501"/>
      <c r="D2" s="2501"/>
      <c r="E2" s="269"/>
      <c r="F2" s="90">
        <v>22</v>
      </c>
    </row>
    <row customHeight="1" ht="3">
      <c r="F3" s="90">
        <v>3</v>
      </c>
    </row>
    <row customHeight="1" ht="23.25">
      <c r="B4" s="2615" t="s">
        <v>1917</v>
      </c>
      <c r="C4" s="384" t="s">
        <v>1918</v>
      </c>
      <c r="D4" s="384" t="s">
        <v>1919</v>
      </c>
      <c r="F4" s="90">
        <v>22</v>
      </c>
    </row>
    <row customHeight="1" ht="11.25" hidden="1">
      <c r="A5" s="90" t="s">
        <v>83</v>
      </c>
      <c r="B5" s="90">
        <v>34</v>
      </c>
      <c r="C5" s="90">
        <v>85</v>
      </c>
      <c r="D5" s="90">
        <v>17</v>
      </c>
      <c r="E5" s="90">
        <v>8</v>
      </c>
      <c r="F5" s="90">
        <v>11</v>
      </c>
    </row>
  </sheetData>
  <sheetProtection formatColumns="0" formatRows="0" autoFilter="0" sort="0" insertRows="0" insertColumns="1" deleteRows="0" deleteColumns="0"/>
  <autoFilter ref="B4:D4"/>
  <mergeCells count="1">
    <mergeCell ref="B2:D2"/>
  </mergeCell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6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438D22F8-478E-AB84-E6EE-96DBF2BFA158}" mc:Ignorable="x14ac xr xr2 xr3">
  <sheetPr>
    <tabColor rgb="FFFFCC99"/>
  </sheetPr>
  <dimension ref="A1:GB215"/>
  <sheetViews>
    <sheetView topLeftCell="A1" showGridLines="0" zoomScale="85" workbookViewId="0">
      <selection activeCell="A1" sqref="A1"/>
    </sheetView>
  </sheetViews>
  <sheetFormatPr defaultColWidth="9.140625" customHeight="1" defaultRowHeight="17.1"/>
  <cols>
    <col min="1" max="1" style="1851" width="26.57421875" customWidth="1"/>
    <col min="2" max="2" style="1851" width="10.00390625" customWidth="1"/>
    <col min="3" max="3" style="1851" width="9.140625"/>
    <col min="4" max="4" style="1851" width="11.140625" customWidth="1"/>
    <col min="5" max="5" style="1851" width="16.57421875" customWidth="1"/>
    <col min="6" max="6" style="1851" width="16.28125" customWidth="1"/>
    <col min="7" max="7" style="1851" width="19.140625" customWidth="1"/>
    <col min="8" max="11" style="1851" width="10.00390625" customWidth="1"/>
    <col min="12" max="12" style="1851" width="12.7109375" customWidth="1"/>
    <col min="13" max="13" style="1851" width="61.28125" customWidth="1"/>
    <col min="14" max="14" style="1851" width="10.00390625" customWidth="1"/>
    <col min="15" max="17" style="1851" width="23.7109375" customWidth="1"/>
    <col min="18" max="18" style="1851" width="11.7109375" customWidth="1"/>
    <col min="19" max="19" style="1851" width="8.57421875" customWidth="1"/>
    <col min="20" max="20" style="1851" width="11.7109375" customWidth="1"/>
    <col min="21" max="21" style="1851" width="8.57421875" customWidth="1"/>
    <col min="22" max="22" style="1851" width="4.7109375" customWidth="1"/>
    <col min="23" max="23" style="1851" width="115.7109375" customWidth="1"/>
    <col min="24" max="24" style="1851" width="115.28125" customWidth="1"/>
    <col min="25" max="27" style="1851" width="9.140625"/>
    <col min="28" max="28" style="1851" width="115.7109375" customWidth="1"/>
    <col min="29" max="29" style="1851" width="9.140625"/>
    <col min="30" max="90" style="1851" width="115.7109375" customWidth="1"/>
    <col min="91" max="184" style="1851" width="9.140625"/>
  </cols>
  <sheetData>
    <row r="2" s="1816" customFormat="1" customHeight="1" ht="17.25">
      <c r="A2" s="1816" t="s">
        <v>1920</v>
      </c>
    </row>
    <row r="4" s="265" customFormat="1" customHeight="1" ht="15">
      <c r="C4" s="1817"/>
      <c r="D4" s="114"/>
      <c r="E4" s="378"/>
    </row>
    <row r="6" s="1816" customFormat="1" customHeight="1" ht="17.25">
      <c r="A6" s="1816" t="s">
        <v>1921</v>
      </c>
    </row>
    <row r="8" s="265" customFormat="1" customHeight="1" ht="17.25">
      <c r="C8" s="1818"/>
      <c r="D8" s="114"/>
      <c r="E8" s="115"/>
    </row>
    <row r="11" s="1816" customFormat="1" customHeight="1" ht="17.25">
      <c r="A11" s="1816" t="s">
        <v>1922</v>
      </c>
    </row>
    <row r="13" s="1820" customFormat="1" customHeight="1" ht="15">
      <c r="A13" s="2218">
        <v>1</v>
      </c>
      <c r="B13" s="1161"/>
      <c r="C13" s="802" t="s">
        <v>104</v>
      </c>
      <c r="D13" s="1819"/>
      <c r="E13" s="1806">
        <f>A13</f>
        <v>1</v>
      </c>
      <c r="F13" s="805"/>
      <c r="G13" s="541" t="str">
        <f>"Территория "&amp;E13</f>
        <v>Территория 1</v>
      </c>
      <c r="H13" s="793"/>
      <c r="I13" s="793"/>
      <c r="J13" s="790"/>
      <c r="K13" s="1625"/>
      <c r="L13" s="1625"/>
      <c r="M13" s="1625"/>
      <c r="N13" s="227"/>
      <c r="O13" s="1625"/>
      <c r="P13" s="226"/>
      <c r="Q13" s="226"/>
      <c r="R13" s="226"/>
      <c r="S13" s="226"/>
    </row>
    <row s="1851" customFormat="1" customHeight="1" ht="15">
      <c r="A14" s="2218"/>
      <c r="B14" s="1161">
        <v>1</v>
      </c>
      <c r="C14" s="1161"/>
      <c r="D14" s="801"/>
      <c r="E14" s="1814" t="str">
        <f>A13&amp;"."&amp;B14</f>
        <v>1.1</v>
      </c>
      <c r="F14" s="804">
        <f>$F$20</f>
        <v>0</v>
      </c>
      <c r="G14" s="794"/>
      <c r="H14" s="794"/>
      <c r="I14" s="792"/>
      <c r="J14" s="1625"/>
      <c r="K14" s="1637"/>
      <c r="L14" s="1637"/>
      <c r="M14" s="1625" t="str">
        <f t="array" ref="M14:M14">IF(ISERROR(MATCH(MID(N14,1,250),MID(note_ter,1,250),0)),"n","y")</f>
        <v>n</v>
      </c>
      <c r="N14" s="1637"/>
      <c r="O14" s="1625" t="str">
        <f>H14&amp;"("&amp;I14&amp;")"</f>
        <v>()</v>
      </c>
      <c r="P14" s="1161"/>
      <c r="Q14" s="1161"/>
      <c r="R14" s="421"/>
      <c r="S14" s="1161"/>
      <c r="T14" s="1161"/>
      <c r="U14" s="1161"/>
      <c r="V14" s="423"/>
      <c r="W14" s="423"/>
      <c r="X14" s="420"/>
      <c r="Y14" s="420"/>
      <c r="Z14" s="420"/>
      <c r="AA14" s="420"/>
      <c r="AB14" s="420"/>
      <c r="AC14" s="420"/>
      <c r="AD14" s="420"/>
      <c r="AE14" s="420"/>
      <c r="AF14" s="420"/>
      <c r="AG14" s="420"/>
      <c r="AH14" s="420"/>
      <c r="AI14" s="420"/>
      <c r="AJ14" s="420"/>
      <c r="AK14" s="420"/>
      <c r="AL14" s="420"/>
      <c r="AM14" s="420"/>
      <c r="AN14" s="420"/>
      <c r="AO14" s="420"/>
      <c r="AP14" s="420"/>
      <c r="AQ14" s="420"/>
      <c r="AR14" s="420"/>
      <c r="AS14" s="420"/>
      <c r="AT14" s="420"/>
      <c r="AU14" s="420"/>
      <c r="AV14" s="420"/>
      <c r="AW14" s="420"/>
      <c r="AX14" s="420"/>
      <c r="AY14" s="420"/>
      <c r="AZ14" s="420"/>
      <c r="BA14" s="420"/>
      <c r="BB14" s="420"/>
      <c r="BC14" s="420"/>
      <c r="BD14" s="420"/>
      <c r="BE14" s="420"/>
      <c r="BF14" s="420"/>
      <c r="BG14" s="420"/>
      <c r="BH14" s="420"/>
      <c r="BI14" s="420"/>
      <c r="BJ14" s="420"/>
      <c r="BK14" s="420"/>
      <c r="BL14" s="420"/>
      <c r="BM14" s="420"/>
      <c r="BN14" s="420"/>
      <c r="BO14" s="420"/>
      <c r="BP14" s="420"/>
      <c r="BQ14" s="420"/>
      <c r="BR14" s="420"/>
      <c r="BS14" s="423"/>
      <c r="BT14" s="423"/>
      <c r="BU14" s="423"/>
      <c r="BV14" s="423"/>
      <c r="BW14" s="423"/>
      <c r="BX14" s="423"/>
      <c r="BY14" s="423"/>
      <c r="BZ14" s="423"/>
      <c r="CA14" s="423"/>
      <c r="CB14" s="423"/>
    </row>
    <row s="1851" customFormat="1" customHeight="1" ht="15">
      <c r="A15" s="2218"/>
      <c r="B15" s="1161"/>
      <c r="C15" s="413"/>
      <c r="D15" s="802"/>
      <c r="E15" s="422"/>
      <c r="F15" s="178"/>
      <c r="G15" s="416" t="s">
        <v>111</v>
      </c>
      <c r="H15" s="188"/>
      <c r="I15" s="425"/>
      <c r="J15" s="1637"/>
      <c r="K15" s="1637"/>
      <c r="L15" s="1637"/>
      <c r="M15" s="1637"/>
      <c r="N15" s="1625"/>
      <c r="O15" s="1637"/>
      <c r="P15" s="1161"/>
      <c r="Q15" s="1161"/>
      <c r="R15" s="421"/>
      <c r="S15" s="1161"/>
      <c r="T15" s="1161"/>
      <c r="U15" s="1161"/>
      <c r="V15" s="423"/>
      <c r="W15" s="423"/>
      <c r="X15" s="420"/>
      <c r="Y15" s="420"/>
      <c r="Z15" s="420"/>
      <c r="AA15" s="420"/>
      <c r="AB15" s="420"/>
      <c r="AC15" s="420"/>
      <c r="AD15" s="420"/>
      <c r="AE15" s="420"/>
      <c r="AF15" s="420"/>
      <c r="AG15" s="420"/>
      <c r="AH15" s="420"/>
      <c r="AI15" s="420"/>
      <c r="AJ15" s="420"/>
      <c r="AK15" s="420"/>
      <c r="AL15" s="420"/>
      <c r="AM15" s="420"/>
      <c r="AN15" s="420"/>
      <c r="AO15" s="420"/>
      <c r="AP15" s="420"/>
      <c r="AQ15" s="420"/>
      <c r="AR15" s="420"/>
      <c r="AS15" s="420"/>
      <c r="AT15" s="420"/>
      <c r="AU15" s="420"/>
      <c r="AV15" s="420"/>
      <c r="AW15" s="420"/>
      <c r="AX15" s="420"/>
      <c r="AY15" s="420"/>
      <c r="AZ15" s="420"/>
      <c r="BA15" s="420"/>
      <c r="BB15" s="420"/>
      <c r="BC15" s="420"/>
      <c r="BD15" s="420"/>
      <c r="BE15" s="420"/>
      <c r="BF15" s="420"/>
      <c r="BG15" s="420"/>
      <c r="BH15" s="420"/>
      <c r="BI15" s="420"/>
      <c r="BJ15" s="420"/>
      <c r="BK15" s="420"/>
      <c r="BL15" s="420"/>
      <c r="BM15" s="420"/>
      <c r="BN15" s="420"/>
      <c r="BO15" s="420"/>
      <c r="BP15" s="420"/>
      <c r="BQ15" s="420"/>
      <c r="BR15" s="420"/>
      <c r="BS15" s="423"/>
      <c r="BT15" s="423"/>
      <c r="BU15" s="423"/>
      <c r="BV15" s="423"/>
      <c r="BW15" s="423"/>
      <c r="BX15" s="423"/>
      <c r="BY15" s="423"/>
      <c r="BZ15" s="423"/>
      <c r="CA15" s="423"/>
      <c r="CB15" s="423"/>
    </row>
    <row r="17" s="1816" customFormat="1" customHeight="1" ht="17.25">
      <c r="A17" s="1816" t="s">
        <v>1923</v>
      </c>
    </row>
    <row r="19" s="1851" customFormat="1" customHeight="1" ht="15">
      <c r="A19" s="1883"/>
      <c r="B19" s="1367">
        <v>1</v>
      </c>
      <c r="C19" s="1367"/>
      <c r="D19" s="801" t="s">
        <v>104</v>
      </c>
      <c r="E19" s="1879"/>
      <c r="F19" s="1884">
        <f>$F$20</f>
        <v>0</v>
      </c>
      <c r="G19" s="1888"/>
      <c r="H19" s="1888"/>
      <c r="I19" s="1886"/>
      <c r="J19" s="1625"/>
      <c r="K19" s="1637"/>
      <c r="L19" s="1637"/>
      <c r="M19" s="1625" t="str">
        <f t="array" ref="M19:M19">IF(ISERROR(MATCH(MID(N19,1,250),MID(note_ter,1,250),0)),"n","y")</f>
        <v>n</v>
      </c>
      <c r="N19" s="1637"/>
      <c r="O19" s="1625" t="str">
        <f>H19&amp;"("&amp;I19&amp;")"</f>
        <v>()</v>
      </c>
      <c r="P19" s="1367"/>
      <c r="Q19" s="1367"/>
      <c r="R19" s="421"/>
      <c r="S19" s="1367"/>
      <c r="T19" s="1367"/>
      <c r="U19" s="1367"/>
      <c r="V19" s="834"/>
      <c r="W19" s="834"/>
      <c r="X19" s="628"/>
      <c r="Y19" s="628"/>
      <c r="Z19" s="628"/>
      <c r="AA19" s="628"/>
      <c r="AB19" s="628"/>
      <c r="AC19" s="628"/>
      <c r="AD19" s="628"/>
      <c r="AE19" s="628"/>
      <c r="AF19" s="628"/>
      <c r="AG19" s="628"/>
      <c r="AH19" s="628"/>
      <c r="AI19" s="628"/>
      <c r="AJ19" s="628"/>
      <c r="AK19" s="628"/>
      <c r="AL19" s="628"/>
      <c r="AM19" s="628"/>
      <c r="AN19" s="628"/>
      <c r="AO19" s="628"/>
      <c r="AP19" s="628"/>
      <c r="AQ19" s="628"/>
      <c r="AR19" s="628"/>
      <c r="AS19" s="628"/>
      <c r="AT19" s="628"/>
      <c r="AU19" s="628"/>
      <c r="AV19" s="628"/>
      <c r="AW19" s="628"/>
      <c r="AX19" s="628"/>
      <c r="AY19" s="628"/>
      <c r="AZ19" s="628"/>
      <c r="BA19" s="628"/>
      <c r="BB19" s="628"/>
      <c r="BC19" s="628"/>
      <c r="BD19" s="628"/>
      <c r="BE19" s="628"/>
      <c r="BF19" s="628"/>
      <c r="BG19" s="628"/>
      <c r="BH19" s="628"/>
      <c r="BI19" s="628"/>
      <c r="BJ19" s="628"/>
      <c r="BK19" s="628"/>
      <c r="BL19" s="628"/>
      <c r="BM19" s="628"/>
      <c r="BN19" s="628"/>
      <c r="BO19" s="628"/>
      <c r="BP19" s="628"/>
      <c r="BQ19" s="628"/>
      <c r="BR19" s="628"/>
      <c r="BS19" s="834"/>
      <c r="BT19" s="834"/>
      <c r="BU19" s="834"/>
      <c r="BV19" s="834"/>
      <c r="BW19" s="834"/>
      <c r="BX19" s="834"/>
      <c r="BY19" s="834"/>
      <c r="BZ19" s="834"/>
      <c r="CA19" s="834"/>
      <c r="CB19" s="834"/>
    </row>
    <row r="21" s="1851" customFormat="1" customHeight="1" ht="15">
      <c r="A21" s="1816" t="s">
        <v>1924</v>
      </c>
      <c r="B21" s="1816"/>
      <c r="C21" s="1816"/>
      <c r="D21" s="1816"/>
      <c r="E21" s="1816"/>
      <c r="F21" s="1816"/>
      <c r="G21" s="1816"/>
      <c r="H21" s="1816"/>
      <c r="I21" s="1816"/>
      <c r="J21" s="1816"/>
      <c r="K21" s="1816"/>
      <c r="L21" s="1816"/>
      <c r="M21" s="1816"/>
      <c r="N21" s="1816"/>
      <c r="O21" s="1816"/>
      <c r="P21" s="1816"/>
      <c r="Q21" s="1816"/>
      <c r="R21" s="1816"/>
      <c r="S21" s="1816"/>
      <c r="T21" s="1816"/>
      <c r="U21" s="185"/>
      <c r="V21" s="1816"/>
      <c r="W21" s="1816"/>
    </row>
    <row s="1851" customFormat="1" customHeight="1" ht="15">
      <c r="U22" s="186"/>
    </row>
    <row s="1854" customFormat="1" customHeight="1" ht="15">
      <c r="A23" s="424"/>
      <c r="B23" s="424"/>
      <c r="C23" s="1729" t="s">
        <v>104</v>
      </c>
      <c r="D23" s="2109" t="s">
        <v>118</v>
      </c>
      <c r="E23" s="2110"/>
      <c r="F23" s="2108" t="s">
        <v>19</v>
      </c>
      <c r="G23" s="2558"/>
      <c r="H23" s="2128">
        <v>1</v>
      </c>
      <c r="I23" s="2560" t="str">
        <f>IF(U23="","",INDEX(TERRITORY_MR_LIST,MATCH(U23,TERRITORY_LIST_ID,0)))</f>
        <v/>
      </c>
      <c r="J23" s="2108" t="s">
        <v>19</v>
      </c>
      <c r="K23" s="833"/>
      <c r="L23" s="1783" t="s">
        <v>118</v>
      </c>
      <c r="M23" s="604"/>
      <c r="N23" s="605"/>
      <c r="O23" s="605"/>
      <c r="P23" s="605"/>
      <c r="Q23" s="605"/>
      <c r="R23" s="605"/>
      <c r="S23" s="605"/>
      <c r="T23" s="605"/>
      <c r="U23" s="606"/>
      <c r="V23" s="605"/>
      <c r="W23" s="605"/>
      <c r="X23" s="596"/>
      <c r="Y23" s="596" t="s">
        <v>126</v>
      </c>
      <c r="Z23" s="596">
        <v>1705000</v>
      </c>
      <c r="AA23" s="596"/>
      <c r="AB23" s="596"/>
      <c r="AC23" s="596"/>
      <c r="AD23" s="596"/>
      <c r="AE23" s="596"/>
      <c r="AF23" s="596"/>
      <c r="AG23" s="596"/>
      <c r="AH23" s="596"/>
      <c r="AI23" s="596"/>
      <c r="AJ23" s="596"/>
      <c r="AK23" s="596"/>
      <c r="AL23" s="596"/>
    </row>
    <row s="1854" customFormat="1" customHeight="1" ht="15">
      <c r="A24" s="424"/>
      <c r="B24" s="424"/>
      <c r="C24" s="177"/>
      <c r="D24" s="2109"/>
      <c r="E24" s="2111"/>
      <c r="F24" s="2108"/>
      <c r="G24" s="2559"/>
      <c r="H24" s="2128"/>
      <c r="I24" s="2561"/>
      <c r="J24" s="2108"/>
      <c r="K24" s="422"/>
      <c r="L24" s="178"/>
      <c r="M24" s="608" t="s">
        <v>127</v>
      </c>
      <c r="N24" s="605"/>
      <c r="O24" s="605"/>
      <c r="P24" s="605"/>
      <c r="Q24" s="605"/>
      <c r="R24" s="605"/>
      <c r="S24" s="605"/>
      <c r="T24" s="605"/>
      <c r="U24" s="606"/>
      <c r="V24" s="605"/>
      <c r="W24" s="605"/>
      <c r="X24" s="596"/>
      <c r="Y24" s="596"/>
      <c r="Z24" s="596"/>
      <c r="AA24" s="596"/>
      <c r="AB24" s="596"/>
      <c r="AC24" s="596"/>
      <c r="AD24" s="596"/>
      <c r="AE24" s="596"/>
      <c r="AF24" s="596"/>
      <c r="AG24" s="596"/>
      <c r="AH24" s="596"/>
      <c r="AI24" s="596"/>
      <c r="AJ24" s="596"/>
      <c r="AK24" s="596"/>
      <c r="AL24" s="596"/>
    </row>
    <row s="1854" customFormat="1" customHeight="1" ht="15">
      <c r="A25" s="424"/>
      <c r="B25" s="424"/>
      <c r="C25" s="177"/>
      <c r="D25" s="2109"/>
      <c r="E25" s="2112"/>
      <c r="F25" s="2108"/>
      <c r="G25" s="422"/>
      <c r="H25" s="178"/>
      <c r="I25" s="581" t="s">
        <v>128</v>
      </c>
      <c r="J25" s="178"/>
      <c r="K25" s="178"/>
      <c r="L25" s="178"/>
      <c r="M25" s="609"/>
      <c r="N25" s="605"/>
      <c r="O25" s="605"/>
      <c r="P25" s="605"/>
      <c r="Q25" s="605"/>
      <c r="R25" s="605"/>
      <c r="S25" s="605"/>
      <c r="T25" s="605"/>
      <c r="U25" s="606"/>
      <c r="V25" s="605"/>
      <c r="W25" s="605"/>
      <c r="X25" s="596"/>
      <c r="Y25" s="596"/>
      <c r="Z25" s="596"/>
      <c r="AA25" s="596"/>
      <c r="AB25" s="596"/>
      <c r="AC25" s="596"/>
      <c r="AD25" s="596"/>
      <c r="AE25" s="596"/>
      <c r="AF25" s="596"/>
      <c r="AG25" s="596"/>
      <c r="AH25" s="596"/>
      <c r="AI25" s="596"/>
      <c r="AJ25" s="596"/>
      <c r="AK25" s="596"/>
      <c r="AL25" s="596"/>
    </row>
    <row s="1851" customFormat="1" customHeight="1" ht="15">
      <c r="U26" s="186"/>
    </row>
    <row s="1851" customFormat="1" customHeight="1" ht="15">
      <c r="A27" s="1816" t="s">
        <v>1925</v>
      </c>
      <c r="B27" s="1816"/>
      <c r="C27" s="1816"/>
      <c r="D27" s="1816"/>
      <c r="E27" s="1816"/>
      <c r="F27" s="1816"/>
      <c r="G27" s="1816"/>
      <c r="H27" s="1816"/>
      <c r="I27" s="1816"/>
      <c r="J27" s="1816"/>
      <c r="K27" s="1816"/>
      <c r="L27" s="1816"/>
      <c r="M27" s="1816"/>
      <c r="N27" s="1816"/>
      <c r="O27" s="1816"/>
      <c r="P27" s="1816"/>
      <c r="Q27" s="1816"/>
      <c r="R27" s="1816"/>
      <c r="S27" s="1816"/>
      <c r="T27" s="1816"/>
      <c r="U27" s="185"/>
      <c r="V27" s="1816"/>
      <c r="W27" s="1816"/>
    </row>
    <row s="1851" customFormat="1" customHeight="1" ht="15">
      <c r="U28" s="186"/>
    </row>
    <row s="1854" customFormat="1" customHeight="1" ht="15">
      <c r="A29" s="424"/>
      <c r="B29" s="424"/>
      <c r="C29" s="177"/>
      <c r="D29" s="1822"/>
      <c r="E29" s="1822"/>
      <c r="F29" s="1822"/>
      <c r="G29" s="2562" t="s">
        <v>104</v>
      </c>
      <c r="H29" s="2104">
        <v>1</v>
      </c>
      <c r="I29" s="2563" t="str">
        <f>IF(U29="","",INDEX(TERRITORY_MR_LIST,MATCH(U29,TERRITORY_LIST_ID,0)))</f>
        <v/>
      </c>
      <c r="J29" s="2108" t="s">
        <v>19</v>
      </c>
      <c r="K29" s="833"/>
      <c r="L29" s="1783" t="s">
        <v>118</v>
      </c>
      <c r="M29" s="604"/>
      <c r="N29" s="605"/>
      <c r="O29" s="605"/>
      <c r="P29" s="605"/>
      <c r="Q29" s="605"/>
      <c r="R29" s="605"/>
      <c r="S29" s="605"/>
      <c r="T29" s="605"/>
      <c r="U29" s="606"/>
      <c r="V29" s="605"/>
      <c r="W29" s="605"/>
      <c r="X29" s="596"/>
      <c r="Y29" s="596" t="s">
        <v>126</v>
      </c>
      <c r="Z29" s="596">
        <v>1705000</v>
      </c>
      <c r="AA29" s="596"/>
      <c r="AB29" s="596"/>
      <c r="AC29" s="596"/>
      <c r="AD29" s="596"/>
      <c r="AE29" s="596"/>
      <c r="AF29" s="596"/>
      <c r="AG29" s="596"/>
      <c r="AH29" s="596"/>
      <c r="AI29" s="596"/>
      <c r="AJ29" s="596"/>
      <c r="AK29" s="596"/>
      <c r="AL29" s="596"/>
    </row>
    <row s="1854" customFormat="1" customHeight="1" ht="15">
      <c r="A30" s="424"/>
      <c r="B30" s="424"/>
      <c r="C30" s="177"/>
      <c r="D30" s="1822"/>
      <c r="E30" s="1822"/>
      <c r="F30" s="1822"/>
      <c r="G30" s="2562"/>
      <c r="H30" s="2104"/>
      <c r="I30" s="2563"/>
      <c r="J30" s="2108"/>
      <c r="K30" s="422"/>
      <c r="L30" s="178"/>
      <c r="M30" s="608" t="s">
        <v>127</v>
      </c>
      <c r="N30" s="605"/>
      <c r="O30" s="605"/>
      <c r="P30" s="605"/>
      <c r="Q30" s="605"/>
      <c r="R30" s="605"/>
      <c r="S30" s="605"/>
      <c r="T30" s="605"/>
      <c r="U30" s="606"/>
      <c r="V30" s="605"/>
      <c r="W30" s="605"/>
      <c r="X30" s="596"/>
      <c r="Y30" s="596"/>
      <c r="Z30" s="596"/>
      <c r="AA30" s="596"/>
      <c r="AB30" s="596"/>
      <c r="AC30" s="596"/>
      <c r="AD30" s="596"/>
      <c r="AE30" s="596"/>
      <c r="AF30" s="596"/>
      <c r="AG30" s="596"/>
      <c r="AH30" s="596"/>
      <c r="AI30" s="596"/>
      <c r="AJ30" s="596"/>
      <c r="AK30" s="596"/>
      <c r="AL30" s="596"/>
    </row>
    <row s="1851" customFormat="1" customHeight="1" ht="15">
      <c r="U31" s="186"/>
    </row>
    <row s="1851" customFormat="1" customHeight="1" ht="15">
      <c r="A32" s="1816" t="s">
        <v>1926</v>
      </c>
      <c r="B32" s="1816"/>
      <c r="C32" s="1816"/>
      <c r="D32" s="1816"/>
      <c r="E32" s="1816"/>
      <c r="F32" s="1816"/>
      <c r="G32" s="1816"/>
      <c r="H32" s="1816"/>
      <c r="I32" s="1816"/>
      <c r="J32" s="1816"/>
      <c r="K32" s="1816"/>
      <c r="L32" s="1816"/>
      <c r="M32" s="1816"/>
      <c r="N32" s="1816"/>
      <c r="O32" s="1816"/>
      <c r="P32" s="1816"/>
      <c r="Q32" s="1816"/>
      <c r="R32" s="1816"/>
      <c r="S32" s="1816"/>
      <c r="T32" s="1816"/>
      <c r="U32" s="185"/>
      <c r="V32" s="1816"/>
      <c r="W32" s="1816"/>
    </row>
    <row s="1851" customFormat="1" customHeight="1" ht="15">
      <c r="U33" s="186"/>
    </row>
    <row s="1854" customFormat="1" customHeight="1" ht="15">
      <c r="A34" s="424"/>
      <c r="B34" s="424"/>
      <c r="C34" s="177"/>
      <c r="D34" s="1822"/>
      <c r="E34" s="1822"/>
      <c r="F34" s="1822"/>
      <c r="G34" s="1822"/>
      <c r="H34" s="1822"/>
      <c r="I34" s="1822"/>
      <c r="J34" s="1822"/>
      <c r="K34" s="1800" t="s">
        <v>104</v>
      </c>
      <c r="L34" s="1730" t="s">
        <v>118</v>
      </c>
      <c r="M34" s="812"/>
      <c r="N34" s="813"/>
      <c r="O34" s="605"/>
      <c r="P34" s="605"/>
      <c r="Q34" s="605"/>
      <c r="R34" s="605"/>
      <c r="S34" s="605"/>
      <c r="T34" s="605"/>
      <c r="U34" s="606"/>
      <c r="V34" s="605"/>
      <c r="W34" s="605"/>
      <c r="X34" s="596"/>
      <c r="Y34" s="596" t="s">
        <v>126</v>
      </c>
      <c r="Z34" s="596">
        <v>1705000</v>
      </c>
      <c r="AA34" s="596"/>
      <c r="AB34" s="596"/>
      <c r="AC34" s="596"/>
      <c r="AD34" s="596"/>
      <c r="AE34" s="596"/>
      <c r="AF34" s="596"/>
      <c r="AG34" s="596"/>
      <c r="AH34" s="596"/>
      <c r="AI34" s="596"/>
      <c r="AJ34" s="596"/>
      <c r="AK34" s="596"/>
      <c r="AL34" s="596"/>
    </row>
    <row s="1851" customFormat="1" customHeight="1" ht="15">
      <c r="U35" s="186"/>
    </row>
    <row s="1851" customFormat="1" customHeight="1" ht="15">
      <c r="U36" s="186"/>
    </row>
    <row s="1816" customFormat="1" customHeight="1" ht="11.25">
      <c r="A37" s="1816" t="s">
        <v>1927</v>
      </c>
    </row>
    <row customHeight="1" ht="11.25"/>
    <row s="456" customFormat="1" customHeight="1" ht="22.5">
      <c r="A39" s="1792"/>
      <c r="B39" s="458"/>
      <c r="C39" s="860"/>
      <c r="D39" s="441"/>
      <c r="E39" s="861"/>
      <c r="F39" s="1813"/>
      <c r="G39" s="1823"/>
      <c r="H39" s="476"/>
    </row>
    <row customHeight="1" ht="11.25"/>
    <row s="1816" customFormat="1" customHeight="1" ht="11.25">
      <c r="A41" s="1816" t="s">
        <v>1928</v>
      </c>
    </row>
    <row customHeight="1" ht="11.25"/>
    <row s="456" customFormat="1" customHeight="1" ht="22.5">
      <c r="A43" s="458"/>
      <c r="B43" s="458"/>
      <c r="C43" s="458"/>
      <c r="D43" s="441"/>
      <c r="E43" s="861"/>
      <c r="F43" s="862"/>
      <c r="G43" s="1823"/>
      <c r="H43" s="476"/>
    </row>
    <row customHeight="1" ht="11.25"/>
    <row s="1816" customFormat="1" customHeight="1" ht="11.25">
      <c r="A45" s="1816" t="s">
        <v>1929</v>
      </c>
    </row>
    <row customHeight="1" ht="11.25"/>
    <row s="456" customFormat="1" customHeight="1" ht="24">
      <c r="A47" s="2203" t="s">
        <v>330</v>
      </c>
      <c r="B47" s="503"/>
      <c r="C47" s="2214"/>
      <c r="D47" s="446" t="str">
        <f>A47</f>
        <v>5.1</v>
      </c>
      <c r="E47" s="443" t="s">
        <v>331</v>
      </c>
      <c r="F47" s="1977" t="s">
        <v>323</v>
      </c>
      <c r="G47" s="445" t="s">
        <v>332</v>
      </c>
      <c r="H47" s="476"/>
      <c r="I47" s="853"/>
    </row>
    <row s="456" customFormat="1" customHeight="1" ht="22.5">
      <c r="A48" s="2203"/>
      <c r="B48" s="503"/>
      <c r="C48" s="2214"/>
      <c r="D48" s="441" t="str">
        <f>D47&amp;".1"</f>
        <v>5.1.1</v>
      </c>
      <c r="E48" s="440" t="s">
        <v>333</v>
      </c>
      <c r="F48" s="1978" t="s">
        <v>28</v>
      </c>
      <c r="G48" s="475"/>
      <c r="H48" s="476"/>
      <c r="I48" s="853"/>
    </row>
    <row s="456" customFormat="1" customHeight="1" ht="22.5">
      <c r="A49" s="2203"/>
      <c r="B49" s="503"/>
      <c r="C49" s="2214"/>
      <c r="D49" s="441" t="str">
        <f>D47&amp;".2"</f>
        <v>5.1.2</v>
      </c>
      <c r="E49" s="440" t="s">
        <v>334</v>
      </c>
      <c r="F49" s="1733" t="s">
        <v>28</v>
      </c>
      <c r="G49" s="445" t="s">
        <v>335</v>
      </c>
      <c r="H49" s="476"/>
      <c r="I49" s="853"/>
    </row>
    <row s="456" customFormat="1" customHeight="1" ht="22.5">
      <c r="A50" s="2203"/>
      <c r="B50" s="503"/>
      <c r="C50" s="2214"/>
      <c r="D50" s="441" t="str">
        <f>D47&amp;".3"</f>
        <v>5.1.3</v>
      </c>
      <c r="E50" s="440" t="s">
        <v>336</v>
      </c>
      <c r="F50" s="1978" t="s">
        <v>28</v>
      </c>
      <c r="G50" s="475"/>
      <c r="H50" s="476"/>
      <c r="I50" s="853"/>
    </row>
    <row s="456" customFormat="1" customHeight="1" ht="22.5">
      <c r="A51" s="2203"/>
      <c r="B51" s="503"/>
      <c r="C51" s="2214"/>
      <c r="D51" s="441" t="str">
        <f>D47&amp;".4"</f>
        <v>5.1.4</v>
      </c>
      <c r="E51" s="440" t="s">
        <v>337</v>
      </c>
      <c r="F51" s="1978" t="s">
        <v>28</v>
      </c>
      <c r="G51" s="445" t="s">
        <v>338</v>
      </c>
      <c r="H51" s="476"/>
      <c r="I51" s="853"/>
    </row>
    <row r="54" s="1816" customFormat="1" customHeight="1" ht="17.25">
      <c r="A54" s="1816" t="s">
        <v>1930</v>
      </c>
    </row>
    <row r="56" s="1613" customFormat="1" customHeight="1" ht="18.75">
      <c r="A56" s="90"/>
      <c r="B56" s="1824"/>
      <c r="C56" s="1824"/>
      <c r="D56" s="1825"/>
      <c r="E56" s="1810"/>
      <c r="F56" s="869">
        <v>13</v>
      </c>
      <c r="G56" s="868"/>
      <c r="H56" s="794"/>
      <c r="I56" s="792"/>
      <c r="J56" s="521" t="s">
        <v>61</v>
      </c>
      <c r="K56" s="1826" t="s">
        <v>28</v>
      </c>
      <c r="L56" s="90"/>
      <c r="M56" s="1637"/>
      <c r="N56" s="1637"/>
      <c r="O56" s="1637"/>
      <c r="P56" s="517" t="s">
        <v>409</v>
      </c>
      <c r="Q56" s="517" t="s">
        <v>410</v>
      </c>
      <c r="R56" s="518" t="s">
        <v>411</v>
      </c>
      <c r="S56" s="1637" t="s">
        <v>412</v>
      </c>
      <c r="T56" s="1637"/>
      <c r="U56" s="1637"/>
      <c r="V56" s="1637"/>
    </row>
    <row r="58" s="1816" customFormat="1" customHeight="1" ht="11.25">
      <c r="A58" s="1816" t="s">
        <v>1931</v>
      </c>
    </row>
    <row r="60" s="1636" customFormat="1" customHeight="1" ht="14.25">
      <c r="C60" s="1689"/>
      <c r="D60" s="1870"/>
      <c r="E60" s="1778" t="s">
        <v>28</v>
      </c>
      <c r="F60" s="1869"/>
      <c r="G60" s="857"/>
      <c r="H60" s="1779"/>
      <c r="I60" s="1779"/>
      <c r="J60" s="434"/>
      <c r="K60" s="1864"/>
      <c r="L60" s="433"/>
      <c r="M60" s="1864"/>
      <c r="N60" s="434"/>
      <c r="O60" s="1864"/>
      <c r="P60" s="434"/>
      <c r="Q60" s="1864"/>
      <c r="R60" s="434"/>
      <c r="S60" s="855"/>
      <c r="T60" s="1779"/>
      <c r="U60" s="434"/>
      <c r="V60" s="434"/>
      <c r="W60" s="1868"/>
      <c r="X60" s="1779"/>
      <c r="Y60" s="434"/>
      <c r="Z60" s="434"/>
      <c r="AA60" s="1868"/>
      <c r="AB60" s="1779"/>
      <c r="AC60" s="434"/>
      <c r="AD60" s="1868"/>
      <c r="AE60" s="90"/>
      <c r="AF60" s="90"/>
      <c r="AG60" s="90"/>
      <c r="AH60" s="90"/>
      <c r="AJ60" s="1637"/>
      <c r="AK60" s="1637"/>
      <c r="AL60" s="1637"/>
      <c r="AM60" s="1637"/>
      <c r="AN60" s="1637"/>
      <c r="AO60" s="1637"/>
      <c r="AP60" s="1625" t="s">
        <v>398</v>
      </c>
      <c r="AQ60" s="1625" t="s">
        <v>398</v>
      </c>
      <c r="AR60" s="1637"/>
      <c r="AS60" s="1637"/>
    </row>
    <row r="62" s="1816" customFormat="1" customHeight="1" ht="11.25">
      <c r="A62" s="1816" t="s">
        <v>1932</v>
      </c>
    </row>
    <row r="64" s="1824" customFormat="1" customHeight="1" ht="15">
      <c r="A64" s="146" t="s">
        <v>91</v>
      </c>
      <c r="B64" s="126" t="s">
        <v>28</v>
      </c>
      <c r="C64" s="1827"/>
      <c r="D64" s="129"/>
      <c r="E64" s="382"/>
      <c r="F64" s="382"/>
      <c r="G64" s="1804"/>
      <c r="H64" s="1826"/>
      <c r="I64" s="1805"/>
      <c r="K64" s="273"/>
      <c r="L64" s="274"/>
    </row>
    <row r="66" s="1816" customFormat="1" customHeight="1" ht="11.25">
      <c r="A66" s="1816" t="s">
        <v>1933</v>
      </c>
    </row>
    <row r="68" s="1636" customFormat="1" customHeight="1" ht="14.25">
      <c r="A68" s="344"/>
      <c r="B68" s="1161"/>
      <c r="C68" s="377"/>
      <c r="D68" s="1811"/>
      <c r="E68" s="887"/>
      <c r="F68" s="1826"/>
      <c r="G68" s="90"/>
      <c r="I68" s="1625"/>
      <c r="J68" s="1625"/>
    </row>
    <row r="70" s="1816" customFormat="1" customHeight="1" ht="11.25">
      <c r="A70" s="1816" t="s">
        <v>1934</v>
      </c>
    </row>
    <row r="72" s="1636" customFormat="1" customHeight="1" ht="27">
      <c r="A72" s="1167"/>
      <c r="B72" s="1167"/>
      <c r="C72" s="1167"/>
      <c r="D72" s="1161"/>
      <c r="E72" s="1828"/>
      <c r="F72" s="2582"/>
      <c r="G72" s="2583"/>
      <c r="H72" s="2584" t="s">
        <v>61</v>
      </c>
      <c r="I72" s="2586"/>
      <c r="J72" s="2549"/>
      <c r="K72" s="2588"/>
      <c r="L72" s="2551"/>
      <c r="M72" s="2551"/>
      <c r="N72" s="2552"/>
      <c r="O72" s="2552"/>
      <c r="P72" s="2553">
        <f>DATEDIF(DATEVALUE(N72),DATEVALUE(O72),"y")&amp;"г. "&amp;DATEDIF(DATEVALUE(N72),DATEVALUE(O72),"ym")&amp;"мес. "&amp;DATEVALUE(O72)-DATE(YEAR(DATEVALUE(O72)),MONTH(DATEVALUE(O72)),1)&amp;"дн. "</f>
      </c>
      <c r="Q72" s="2548"/>
      <c r="R72" s="2548"/>
      <c r="S72" s="2548"/>
      <c r="T72" s="2549"/>
      <c r="U72" s="2548"/>
      <c r="V72" s="2548"/>
      <c r="W72" s="2548"/>
      <c r="X72" s="2549"/>
      <c r="Y72" s="2546" t="s">
        <v>61</v>
      </c>
      <c r="Z72" s="1809"/>
      <c r="AA72" s="1793">
        <v>1</v>
      </c>
      <c r="AB72" s="1243"/>
      <c r="AD72" s="1637" t="s">
        <v>1935</v>
      </c>
    </row>
    <row s="1636" customFormat="1" customHeight="1" ht="10.5">
      <c r="A73" s="1167"/>
      <c r="B73" s="1167"/>
      <c r="C73" s="1167"/>
      <c r="D73" s="1161"/>
      <c r="E73" s="948"/>
      <c r="F73" s="2582"/>
      <c r="G73" s="2583"/>
      <c r="H73" s="2585"/>
      <c r="I73" s="2587"/>
      <c r="J73" s="2550"/>
      <c r="K73" s="2588"/>
      <c r="L73" s="2551"/>
      <c r="M73" s="2551"/>
      <c r="N73" s="2552"/>
      <c r="O73" s="2552"/>
      <c r="P73" s="2553"/>
      <c r="Q73" s="2548"/>
      <c r="R73" s="2548"/>
      <c r="S73" s="2548"/>
      <c r="T73" s="2550"/>
      <c r="U73" s="2548"/>
      <c r="V73" s="2548"/>
      <c r="W73" s="2548"/>
      <c r="X73" s="2550"/>
      <c r="Y73" s="2547"/>
      <c r="Z73" s="348"/>
      <c r="AA73" s="573"/>
      <c r="AB73" s="653" t="s">
        <v>1936</v>
      </c>
    </row>
    <row r="75" s="1816" customFormat="1" customHeight="1" ht="11.25">
      <c r="A75" s="1816" t="s">
        <v>1937</v>
      </c>
    </row>
    <row r="77" s="1636" customFormat="1" customHeight="1" ht="27">
      <c r="A77" s="1167"/>
      <c r="B77" s="1167"/>
      <c r="C77" s="1167"/>
      <c r="D77" s="1161"/>
      <c r="E77" s="1828"/>
      <c r="F77" s="1798"/>
      <c r="G77" s="1748"/>
      <c r="H77" s="1749"/>
      <c r="I77" s="1750"/>
      <c r="J77" s="1751"/>
      <c r="K77" s="1752"/>
      <c r="L77" s="1753"/>
      <c r="M77" s="1753"/>
      <c r="N77" s="1754"/>
      <c r="O77" s="1754"/>
      <c r="P77" s="1755"/>
      <c r="Q77" s="1756"/>
      <c r="R77" s="1756"/>
      <c r="S77" s="1756"/>
      <c r="T77" s="1751"/>
      <c r="U77" s="1756"/>
      <c r="V77" s="1756"/>
      <c r="W77" s="1756"/>
      <c r="X77" s="1751"/>
      <c r="Y77" s="1749"/>
      <c r="Z77" s="1809"/>
      <c r="AA77" s="1793">
        <v>1</v>
      </c>
      <c r="AB77" s="1243"/>
      <c r="AD77" s="1637" t="s">
        <v>1935</v>
      </c>
    </row>
    <row r="79" s="1816" customFormat="1" customHeight="1" ht="11.25">
      <c r="A79" s="1816" t="s">
        <v>1938</v>
      </c>
    </row>
    <row customHeight="1" ht="17.25"/>
    <row s="1636" customFormat="1" customHeight="1" ht="21">
      <c r="A81" s="1168"/>
      <c r="B81" s="1167"/>
      <c r="C81" s="1167"/>
      <c r="D81" s="1161"/>
      <c r="E81" s="1171"/>
      <c r="F81" s="1123">
        <f>INDEX(IP_MAIN_LIST_NAME_IP,MATCH(A81,IP_MAIN_LIST_IP_ID,0))&amp;" ("&amp;INDEX(IP_MAIN_START_DATE,MATCH(A81,IP_MAIN_LIST_IP_ID,0))&amp;"-"&amp;INDEX(IP_MAIN_END_DATE,MATCH(A81,IP_MAIN_LIST_IP_ID,0))&amp;")"</f>
      </c>
      <c r="G81" s="1124"/>
      <c r="H81" s="1124"/>
      <c r="I81" s="1186"/>
      <c r="J81" s="1186"/>
      <c r="K81" s="1187"/>
      <c r="L81" s="1187"/>
      <c r="M81" s="1187"/>
      <c r="N81" s="1188"/>
      <c r="O81" s="1188"/>
      <c r="P81" s="1188"/>
      <c r="Q81" s="1188"/>
      <c r="R81" s="1188"/>
      <c r="S81" s="1188"/>
      <c r="T81" s="1188"/>
      <c r="U81" s="1188"/>
      <c r="V81" s="1188"/>
      <c r="W81" s="1188"/>
      <c r="X81" s="1188"/>
      <c r="Y81" s="1188"/>
      <c r="Z81" s="1188"/>
      <c r="AA81" s="1188"/>
      <c r="AB81" s="1188"/>
      <c r="AC81" s="1188"/>
      <c r="AD81" s="1188"/>
      <c r="AE81" s="1189"/>
      <c r="AF81" s="1187"/>
      <c r="AG81" s="1187"/>
      <c r="AH81" s="1187"/>
      <c r="AI81" s="1187"/>
      <c r="AJ81" s="1187"/>
      <c r="AK81" s="1187"/>
      <c r="AL81" s="1989"/>
      <c r="AM81" s="1824"/>
      <c r="AN81" s="1824"/>
      <c r="AO81" s="1824"/>
      <c r="AP81" s="1824"/>
      <c r="AQ81" s="1824"/>
      <c r="AR81" s="1824"/>
      <c r="AS81" s="1824"/>
      <c r="AT81" s="1824"/>
      <c r="AU81" s="1824"/>
      <c r="AV81" s="1824"/>
      <c r="AW81" s="1824"/>
      <c r="AX81" s="1824"/>
      <c r="AY81" s="1824"/>
      <c r="AZ81" s="1824"/>
      <c r="BA81" s="1824"/>
      <c r="BB81" s="1824"/>
      <c r="BC81" s="1824"/>
      <c r="BD81" s="1824"/>
      <c r="BE81" s="1824"/>
      <c r="BF81" s="1824"/>
    </row>
    <row s="1636" customFormat="1" customHeight="1" ht="0.75">
      <c r="A82" s="1167"/>
      <c r="B82" s="1167"/>
      <c r="C82" s="1167"/>
      <c r="D82" s="1161"/>
      <c r="E82" s="1171"/>
      <c r="F82" s="2537"/>
      <c r="G82" s="2516"/>
      <c r="H82" s="2541" t="s">
        <v>393</v>
      </c>
      <c r="I82" s="2542"/>
      <c r="J82" s="2543"/>
      <c r="K82" s="2543"/>
      <c r="L82" s="2535"/>
      <c r="M82" s="2269"/>
      <c r="N82" s="2037"/>
      <c r="O82" s="2036"/>
      <c r="P82" s="2037"/>
      <c r="Q82" s="2037"/>
      <c r="R82" s="2037"/>
      <c r="S82" s="2037"/>
      <c r="T82" s="2037"/>
      <c r="U82" s="2037"/>
      <c r="V82" s="2037"/>
      <c r="W82" s="2037"/>
      <c r="X82" s="2037"/>
      <c r="Y82" s="2037"/>
      <c r="Z82" s="2037"/>
      <c r="AA82" s="2037"/>
      <c r="AB82" s="2037"/>
      <c r="AC82" s="2037"/>
      <c r="AD82" s="2037"/>
      <c r="AE82" s="2037"/>
      <c r="AF82" s="2539"/>
      <c r="AG82" s="2535"/>
      <c r="AH82" s="2535"/>
      <c r="AI82" s="2539"/>
      <c r="AJ82" s="2535"/>
      <c r="AK82" s="2535"/>
      <c r="AL82" s="1989"/>
      <c r="AM82" s="1824"/>
      <c r="AN82" s="1824"/>
      <c r="AO82" s="1824"/>
      <c r="AP82" s="1824"/>
      <c r="AQ82" s="1824"/>
      <c r="AR82" s="1824"/>
      <c r="AS82" s="1824"/>
      <c r="AT82" s="1824"/>
      <c r="AU82" s="1824"/>
      <c r="AV82" s="1824"/>
      <c r="AW82" s="1824"/>
      <c r="AX82" s="1824"/>
      <c r="AY82" s="1824"/>
      <c r="AZ82" s="1824"/>
      <c r="BA82" s="1824"/>
      <c r="BB82" s="1824"/>
      <c r="BC82" s="1824"/>
      <c r="BD82" s="1824"/>
      <c r="BE82" s="1824"/>
      <c r="BF82" s="1824"/>
    </row>
    <row s="1636" customFormat="1" customHeight="1" ht="0.75">
      <c r="A83" s="1167"/>
      <c r="B83" s="1167"/>
      <c r="C83" s="1167"/>
      <c r="D83" s="1161"/>
      <c r="E83" s="1171"/>
      <c r="F83" s="2537"/>
      <c r="G83" s="2516"/>
      <c r="H83" s="2541"/>
      <c r="I83" s="2542"/>
      <c r="J83" s="2543"/>
      <c r="K83" s="2543"/>
      <c r="L83" s="2535"/>
      <c r="M83" s="2269"/>
      <c r="N83" s="2544"/>
      <c r="O83" s="2545"/>
      <c r="P83" s="2589"/>
      <c r="Q83" s="2540"/>
      <c r="R83" s="2540"/>
      <c r="S83" s="2540"/>
      <c r="T83" s="2540"/>
      <c r="U83" s="2540"/>
      <c r="V83" s="2540"/>
      <c r="W83" s="2540"/>
      <c r="X83" s="2540"/>
      <c r="Y83" s="2540"/>
      <c r="Z83" s="2038"/>
      <c r="AA83" s="2039"/>
      <c r="AB83" s="2039"/>
      <c r="AC83" s="2040"/>
      <c r="AD83" s="2040"/>
      <c r="AE83" s="2041"/>
      <c r="AF83" s="2539"/>
      <c r="AG83" s="2535"/>
      <c r="AH83" s="2535"/>
      <c r="AI83" s="2539"/>
      <c r="AJ83" s="2535"/>
      <c r="AK83" s="2535"/>
      <c r="AL83" s="1989"/>
      <c r="AM83" s="1824"/>
      <c r="AN83" s="1824"/>
      <c r="AO83" s="1824"/>
      <c r="AP83" s="1824"/>
      <c r="AQ83" s="1824"/>
      <c r="AR83" s="1824"/>
      <c r="AS83" s="1824"/>
      <c r="AT83" s="1824"/>
      <c r="AU83" s="1824"/>
      <c r="AV83" s="1824"/>
      <c r="AW83" s="1824"/>
      <c r="AX83" s="1824"/>
      <c r="AY83" s="1824"/>
      <c r="AZ83" s="1824"/>
      <c r="BA83" s="1824"/>
      <c r="BB83" s="1824"/>
      <c r="BC83" s="1824"/>
      <c r="BD83" s="1824"/>
      <c r="BE83" s="1824"/>
      <c r="BF83" s="1824"/>
    </row>
    <row s="1636" customFormat="1" customHeight="1" ht="0.75">
      <c r="A84" s="1167"/>
      <c r="B84" s="1167"/>
      <c r="C84" s="1167"/>
      <c r="D84" s="1161"/>
      <c r="E84" s="1171"/>
      <c r="F84" s="2537"/>
      <c r="G84" s="2516"/>
      <c r="H84" s="2541"/>
      <c r="I84" s="2542"/>
      <c r="J84" s="2543"/>
      <c r="K84" s="2543"/>
      <c r="L84" s="2535"/>
      <c r="M84" s="2269"/>
      <c r="N84" s="2544"/>
      <c r="O84" s="2545"/>
      <c r="P84" s="2590"/>
      <c r="Q84" s="2540"/>
      <c r="R84" s="2540"/>
      <c r="S84" s="2540"/>
      <c r="T84" s="2540"/>
      <c r="U84" s="2540"/>
      <c r="V84" s="2540"/>
      <c r="W84" s="2540"/>
      <c r="X84" s="2540"/>
      <c r="Y84" s="2540"/>
      <c r="Z84" s="2042"/>
      <c r="AA84" s="2043"/>
      <c r="AB84" s="2044"/>
      <c r="AC84" s="2045"/>
      <c r="AD84" s="2044"/>
      <c r="AE84" s="2045"/>
      <c r="AF84" s="2539"/>
      <c r="AG84" s="2535"/>
      <c r="AH84" s="2535"/>
      <c r="AI84" s="2539"/>
      <c r="AJ84" s="2535"/>
      <c r="AK84" s="2535"/>
      <c r="AL84" s="1989"/>
      <c r="AM84" s="1824"/>
      <c r="AN84" s="1824"/>
      <c r="AO84" s="1824"/>
      <c r="AP84" s="1824"/>
      <c r="AQ84" s="1824"/>
      <c r="AR84" s="1824"/>
      <c r="AS84" s="1824"/>
      <c r="AT84" s="1824"/>
      <c r="AU84" s="1824"/>
      <c r="AV84" s="1824"/>
      <c r="AW84" s="1824"/>
      <c r="AX84" s="1824"/>
      <c r="AY84" s="1824"/>
      <c r="AZ84" s="1824"/>
      <c r="BA84" s="1824"/>
      <c r="BB84" s="1824"/>
      <c r="BC84" s="1824"/>
      <c r="BD84" s="1824"/>
      <c r="BE84" s="1824"/>
      <c r="BF84" s="1824"/>
    </row>
    <row s="1636" customFormat="1" customHeight="1" ht="0.75">
      <c r="A85" s="1167"/>
      <c r="B85" s="1167"/>
      <c r="C85" s="1167"/>
      <c r="D85" s="1161"/>
      <c r="E85" s="1171"/>
      <c r="F85" s="2537"/>
      <c r="G85" s="2516"/>
      <c r="H85" s="2541"/>
      <c r="I85" s="2542"/>
      <c r="J85" s="2543"/>
      <c r="K85" s="2543"/>
      <c r="L85" s="2535"/>
      <c r="M85" s="2269"/>
      <c r="N85" s="2544"/>
      <c r="O85" s="2545"/>
      <c r="P85" s="2591"/>
      <c r="Q85" s="2540"/>
      <c r="R85" s="2540"/>
      <c r="S85" s="2540"/>
      <c r="T85" s="2540"/>
      <c r="U85" s="2540"/>
      <c r="V85" s="2540"/>
      <c r="W85" s="2540"/>
      <c r="X85" s="2540"/>
      <c r="Y85" s="2540"/>
      <c r="Z85" s="2038"/>
      <c r="AA85" s="2039"/>
      <c r="AB85" s="2046"/>
      <c r="AC85" s="2040"/>
      <c r="AD85" s="2040"/>
      <c r="AE85" s="2047"/>
      <c r="AF85" s="2539"/>
      <c r="AG85" s="2535"/>
      <c r="AH85" s="2535"/>
      <c r="AI85" s="2539"/>
      <c r="AJ85" s="2535"/>
      <c r="AK85" s="2535"/>
      <c r="AL85" s="1989"/>
      <c r="AM85" s="1824"/>
      <c r="AN85" s="1824"/>
      <c r="AO85" s="1824"/>
      <c r="AP85" s="1824"/>
      <c r="AQ85" s="1824"/>
      <c r="AR85" s="1824"/>
      <c r="AS85" s="1824"/>
      <c r="AT85" s="1824"/>
      <c r="AU85" s="1824"/>
      <c r="AV85" s="1824"/>
      <c r="AW85" s="1824"/>
      <c r="AX85" s="1824"/>
      <c r="AY85" s="1824"/>
      <c r="AZ85" s="1824"/>
      <c r="BA85" s="1824"/>
      <c r="BB85" s="1824"/>
      <c r="BC85" s="1824"/>
      <c r="BD85" s="1824"/>
      <c r="BE85" s="1824"/>
      <c r="BF85" s="1824"/>
    </row>
    <row s="1636" customFormat="1" customHeight="1" ht="0.75">
      <c r="A86" s="1167"/>
      <c r="B86" s="1167"/>
      <c r="C86" s="1167"/>
      <c r="D86" s="1161"/>
      <c r="E86" s="1171"/>
      <c r="F86" s="2537"/>
      <c r="G86" s="2516"/>
      <c r="H86" s="2541"/>
      <c r="I86" s="2542"/>
      <c r="J86" s="2543"/>
      <c r="K86" s="2543"/>
      <c r="L86" s="2535"/>
      <c r="M86" s="2269"/>
      <c r="N86" s="2039"/>
      <c r="O86" s="2039"/>
      <c r="P86" s="2046"/>
      <c r="Q86" s="2039"/>
      <c r="R86" s="2039"/>
      <c r="S86" s="2039"/>
      <c r="T86" s="2039"/>
      <c r="U86" s="2039"/>
      <c r="V86" s="2039"/>
      <c r="W86" s="2039"/>
      <c r="X86" s="2039"/>
      <c r="Y86" s="2039"/>
      <c r="Z86" s="2039"/>
      <c r="AA86" s="2039"/>
      <c r="AB86" s="2039"/>
      <c r="AC86" s="2039"/>
      <c r="AD86" s="2039"/>
      <c r="AE86" s="2048"/>
      <c r="AF86" s="2539"/>
      <c r="AG86" s="2535"/>
      <c r="AH86" s="2535"/>
      <c r="AI86" s="2539"/>
      <c r="AJ86" s="2535"/>
      <c r="AK86" s="2535"/>
      <c r="AL86" s="1989"/>
      <c r="AM86" s="1824"/>
      <c r="AN86" s="1824"/>
      <c r="AO86" s="1824"/>
      <c r="AP86" s="1824"/>
      <c r="AQ86" s="1824"/>
      <c r="AR86" s="1824"/>
      <c r="AS86" s="1824"/>
      <c r="AT86" s="1824"/>
      <c r="AU86" s="1824"/>
      <c r="AV86" s="1824"/>
      <c r="AW86" s="1824"/>
      <c r="AX86" s="1824"/>
      <c r="AY86" s="1824"/>
      <c r="AZ86" s="1824"/>
      <c r="BA86" s="1824"/>
      <c r="BB86" s="1824"/>
      <c r="BC86" s="1824"/>
      <c r="BD86" s="1824"/>
      <c r="BE86" s="1824"/>
      <c r="BF86" s="1824"/>
    </row>
    <row s="1636" customFormat="1" customHeight="1" ht="12">
      <c r="A87" s="1167"/>
      <c r="B87" s="1167"/>
      <c r="C87" s="1167"/>
      <c r="D87" s="1161"/>
      <c r="E87" s="1171"/>
      <c r="F87" s="2538"/>
      <c r="G87" s="1191"/>
      <c r="H87" s="1191"/>
      <c r="I87" s="2536" t="s">
        <v>1939</v>
      </c>
      <c r="J87" s="2536"/>
      <c r="K87" s="2536"/>
      <c r="L87" s="1174"/>
      <c r="M87" s="1174"/>
      <c r="N87" s="1175"/>
      <c r="O87" s="1175"/>
      <c r="P87" s="1175"/>
      <c r="Q87" s="1175"/>
      <c r="R87" s="1175"/>
      <c r="S87" s="1175"/>
      <c r="T87" s="1175"/>
      <c r="U87" s="1175"/>
      <c r="V87" s="1175"/>
      <c r="W87" s="1175"/>
      <c r="X87" s="1175"/>
      <c r="Y87" s="1175"/>
      <c r="Z87" s="1175"/>
      <c r="AA87" s="1175"/>
      <c r="AB87" s="1175"/>
      <c r="AC87" s="1175"/>
      <c r="AD87" s="1175"/>
      <c r="AE87" s="1175"/>
      <c r="AF87" s="1175"/>
      <c r="AG87" s="1174"/>
      <c r="AH87" s="1174"/>
      <c r="AI87" s="1175"/>
      <c r="AJ87" s="1174"/>
      <c r="AK87" s="1175"/>
      <c r="AL87" s="1989"/>
      <c r="AM87" s="1824"/>
      <c r="AN87" s="1824"/>
      <c r="AO87" s="1824"/>
      <c r="AP87" s="1824"/>
      <c r="AQ87" s="1824"/>
      <c r="AR87" s="1824"/>
      <c r="AS87" s="1824"/>
      <c r="AT87" s="1824"/>
      <c r="AU87" s="1824"/>
      <c r="AV87" s="1824"/>
      <c r="AW87" s="1824"/>
      <c r="AX87" s="1824"/>
      <c r="AY87" s="1824"/>
      <c r="AZ87" s="1824"/>
      <c r="BA87" s="1824"/>
      <c r="BB87" s="1824"/>
      <c r="BC87" s="1824"/>
      <c r="BD87" s="1824"/>
      <c r="BE87" s="1824"/>
      <c r="BF87" s="1824"/>
    </row>
    <row r="89" s="1816" customFormat="1" customHeight="1" ht="11.25">
      <c r="A89" s="1816" t="s">
        <v>1940</v>
      </c>
    </row>
    <row r="91" s="1636" customFormat="1" customHeight="1" ht="11.25">
      <c r="A91" s="1167"/>
      <c r="B91" s="1167"/>
      <c r="C91" s="1167"/>
      <c r="D91" s="1161"/>
      <c r="E91" s="1171"/>
      <c r="F91" s="1830"/>
      <c r="G91" s="1831"/>
      <c r="H91" s="1831"/>
      <c r="I91" s="1765"/>
      <c r="J91" s="1765"/>
      <c r="K91" s="1832"/>
      <c r="L91" s="1765"/>
      <c r="M91" s="1831"/>
      <c r="N91" s="2509"/>
      <c r="O91" s="2592">
        <v>1</v>
      </c>
      <c r="P91" s="2511" t="s">
        <v>19</v>
      </c>
      <c r="Q91" s="2514" t="s">
        <v>28</v>
      </c>
      <c r="R91" s="2514" t="s">
        <v>28</v>
      </c>
      <c r="S91" s="2514" t="s">
        <v>28</v>
      </c>
      <c r="T91" s="2514" t="s">
        <v>28</v>
      </c>
      <c r="U91" s="2514" t="s">
        <v>28</v>
      </c>
      <c r="V91" s="2514" t="s">
        <v>28</v>
      </c>
      <c r="W91" s="2514" t="s">
        <v>28</v>
      </c>
      <c r="X91" s="2514" t="s">
        <v>28</v>
      </c>
      <c r="Y91" s="2514"/>
      <c r="Z91" s="1176"/>
      <c r="AA91" s="1177"/>
      <c r="AB91" s="1177"/>
      <c r="AC91" s="1181"/>
      <c r="AD91" s="1181"/>
      <c r="AE91" s="1181"/>
      <c r="AF91" s="1833"/>
      <c r="AG91" s="1760"/>
      <c r="AH91" s="1760"/>
      <c r="AI91" s="1833"/>
      <c r="AJ91" s="1760"/>
      <c r="AK91" s="1988"/>
      <c r="AL91" s="1989"/>
      <c r="AM91" s="1824"/>
      <c r="AN91" s="1824"/>
      <c r="AO91" s="1824"/>
      <c r="AP91" s="1824"/>
      <c r="AQ91" s="1824"/>
      <c r="AR91" s="1824"/>
      <c r="AS91" s="1824"/>
      <c r="AT91" s="1824"/>
      <c r="AU91" s="1824"/>
      <c r="AV91" s="1824"/>
      <c r="AW91" s="1824"/>
      <c r="AX91" s="1824"/>
      <c r="AY91" s="1824"/>
      <c r="AZ91" s="1824"/>
      <c r="BA91" s="1824"/>
      <c r="BB91" s="1824"/>
      <c r="BC91" s="1824"/>
      <c r="BD91" s="1824"/>
      <c r="BE91" s="1824"/>
      <c r="BF91" s="1824"/>
    </row>
    <row s="1636" customFormat="1" customHeight="1" ht="11.25">
      <c r="A92" s="1167"/>
      <c r="B92" s="1167"/>
      <c r="C92" s="1167"/>
      <c r="D92" s="1161"/>
      <c r="E92" s="1171"/>
      <c r="F92" s="1830"/>
      <c r="G92" s="1831"/>
      <c r="H92" s="1831"/>
      <c r="I92" s="1766"/>
      <c r="J92" s="1766"/>
      <c r="K92" s="1832"/>
      <c r="L92" s="1766"/>
      <c r="M92" s="1831"/>
      <c r="N92" s="2509"/>
      <c r="O92" s="2592"/>
      <c r="P92" s="2512"/>
      <c r="Q92" s="2514"/>
      <c r="R92" s="2514"/>
      <c r="S92" s="2515"/>
      <c r="T92" s="2514"/>
      <c r="U92" s="2514"/>
      <c r="V92" s="2514"/>
      <c r="W92" s="2514"/>
      <c r="X92" s="2514"/>
      <c r="Y92" s="2514"/>
      <c r="Z92" s="1829"/>
      <c r="AA92" s="1795">
        <v>1</v>
      </c>
      <c r="AB92" s="1180"/>
      <c r="AC92" s="1170"/>
      <c r="AD92" s="1180">
        <f>AB92</f>
        <v>0</v>
      </c>
      <c r="AE92" s="725"/>
      <c r="AF92" s="1832"/>
      <c r="AG92" s="1760"/>
      <c r="AH92" s="1760"/>
      <c r="AI92" s="1832"/>
      <c r="AJ92" s="1760"/>
      <c r="AK92" s="1988"/>
      <c r="AL92" s="1989"/>
      <c r="AM92" s="1824"/>
      <c r="AN92" s="1824"/>
      <c r="AO92" s="1824"/>
      <c r="AP92" s="1824"/>
      <c r="AQ92" s="1824"/>
      <c r="AR92" s="1824"/>
      <c r="AS92" s="1824"/>
      <c r="AT92" s="1824"/>
      <c r="AU92" s="1824"/>
      <c r="AV92" s="1824"/>
      <c r="AW92" s="1824"/>
      <c r="AX92" s="1824"/>
      <c r="AY92" s="1824"/>
      <c r="AZ92" s="1824"/>
      <c r="BA92" s="1824"/>
      <c r="BB92" s="1824"/>
      <c r="BC92" s="1824"/>
      <c r="BD92" s="1824"/>
      <c r="BE92" s="1824"/>
      <c r="BF92" s="1824"/>
    </row>
    <row s="1636" customFormat="1" customHeight="1" ht="11.25">
      <c r="A93" s="1167"/>
      <c r="B93" s="1167"/>
      <c r="C93" s="1167"/>
      <c r="D93" s="1161"/>
      <c r="E93" s="1171"/>
      <c r="F93" s="1830"/>
      <c r="G93" s="1831"/>
      <c r="H93" s="1831"/>
      <c r="I93" s="1767"/>
      <c r="J93" s="1767"/>
      <c r="K93" s="1832"/>
      <c r="L93" s="1767"/>
      <c r="M93" s="1831"/>
      <c r="N93" s="2509"/>
      <c r="O93" s="2592"/>
      <c r="P93" s="2513"/>
      <c r="Q93" s="2514"/>
      <c r="R93" s="2514"/>
      <c r="S93" s="2515"/>
      <c r="T93" s="2514"/>
      <c r="U93" s="2514"/>
      <c r="V93" s="2514"/>
      <c r="W93" s="2514"/>
      <c r="X93" s="2514"/>
      <c r="Y93" s="2514"/>
      <c r="Z93" s="1176"/>
      <c r="AA93" s="1177"/>
      <c r="AB93" s="1242" t="s">
        <v>1941</v>
      </c>
      <c r="AC93" s="1181"/>
      <c r="AD93" s="1181"/>
      <c r="AE93" s="1181"/>
      <c r="AF93" s="1834"/>
      <c r="AG93" s="1760"/>
      <c r="AH93" s="1760"/>
      <c r="AI93" s="1834"/>
      <c r="AJ93" s="1760"/>
      <c r="AK93" s="1988"/>
      <c r="AL93" s="1989"/>
      <c r="AM93" s="1824"/>
      <c r="AN93" s="1824"/>
      <c r="AO93" s="1824"/>
      <c r="AP93" s="1824"/>
      <c r="AQ93" s="1824"/>
      <c r="AR93" s="1824"/>
      <c r="AS93" s="1824"/>
      <c r="AT93" s="1824"/>
      <c r="AU93" s="1824"/>
      <c r="AV93" s="1824"/>
      <c r="AW93" s="1824"/>
      <c r="AX93" s="1824"/>
      <c r="AY93" s="1824"/>
      <c r="AZ93" s="1824"/>
      <c r="BA93" s="1824"/>
      <c r="BB93" s="1824"/>
      <c r="BC93" s="1824"/>
      <c r="BD93" s="1824"/>
      <c r="BE93" s="1824"/>
      <c r="BF93" s="1824"/>
    </row>
    <row r="95" s="1816" customFormat="1" customHeight="1" ht="11.25">
      <c r="A95" s="1816" t="s">
        <v>1942</v>
      </c>
    </row>
    <row r="97" s="1636" customFormat="1" customHeight="1" ht="11.25">
      <c r="A97" s="1167"/>
      <c r="B97" s="1167"/>
      <c r="C97" s="1167"/>
      <c r="D97" s="1161"/>
      <c r="E97" s="1171"/>
      <c r="F97" s="1831"/>
      <c r="G97" s="1831"/>
      <c r="H97" s="1831"/>
      <c r="I97" s="1831"/>
      <c r="J97" s="1831"/>
      <c r="K97" s="1831"/>
      <c r="L97" s="1831"/>
      <c r="M97" s="1831"/>
      <c r="N97" s="1831"/>
      <c r="O97" s="1831"/>
      <c r="P97" s="1831"/>
      <c r="Q97" s="1831"/>
      <c r="R97" s="1831"/>
      <c r="S97" s="1831"/>
      <c r="T97" s="1831"/>
      <c r="U97" s="1831"/>
      <c r="V97" s="1831"/>
      <c r="W97" s="1831"/>
      <c r="X97" s="1831"/>
      <c r="Y97" s="1831"/>
      <c r="Z97" s="1835"/>
      <c r="AA97" s="1815">
        <v>1</v>
      </c>
      <c r="AB97" s="1180"/>
      <c r="AC97" s="1170"/>
      <c r="AD97" s="1180">
        <f>AB97</f>
        <v>0</v>
      </c>
      <c r="AE97" s="1170"/>
      <c r="AF97" s="1832"/>
      <c r="AG97" s="1760"/>
      <c r="AH97" s="1760"/>
      <c r="AI97" s="1832"/>
      <c r="AJ97" s="1760"/>
      <c r="AK97" s="1988"/>
      <c r="AL97" s="1989"/>
      <c r="AM97" s="1824"/>
      <c r="AN97" s="1824"/>
      <c r="AO97" s="1824"/>
      <c r="AP97" s="1824"/>
      <c r="AQ97" s="1824"/>
      <c r="AR97" s="1824"/>
      <c r="AS97" s="1824"/>
      <c r="AT97" s="1824"/>
      <c r="AU97" s="1824"/>
      <c r="AV97" s="1824"/>
      <c r="AW97" s="1824"/>
      <c r="AX97" s="1824"/>
      <c r="AY97" s="1824"/>
      <c r="AZ97" s="1824"/>
      <c r="BA97" s="1824"/>
      <c r="BB97" s="1824"/>
      <c r="BC97" s="1824"/>
      <c r="BD97" s="1824"/>
      <c r="BE97" s="1824"/>
      <c r="BF97" s="1824"/>
    </row>
    <row r="99" s="1816" customFormat="1" customHeight="1" ht="11.25">
      <c r="A99" s="1816" t="s">
        <v>1943</v>
      </c>
    </row>
    <row r="101" s="1636" customFormat="1" customHeight="1" ht="11.25">
      <c r="A101" s="1167"/>
      <c r="B101" s="1167"/>
      <c r="C101" s="1167"/>
      <c r="D101" s="1161"/>
      <c r="E101" s="1171"/>
      <c r="F101" s="1830"/>
      <c r="G101" s="1831"/>
      <c r="H101" s="2516" t="s">
        <v>118</v>
      </c>
      <c r="I101" s="2517"/>
      <c r="J101" s="2486"/>
      <c r="K101" s="2518"/>
      <c r="L101" s="2108" t="s">
        <v>19</v>
      </c>
      <c r="M101" s="2109"/>
      <c r="N101" s="1987"/>
      <c r="O101" s="1178" t="s">
        <v>393</v>
      </c>
      <c r="P101" s="1179"/>
      <c r="Q101" s="1179"/>
      <c r="R101" s="1179"/>
      <c r="S101" s="1179"/>
      <c r="T101" s="1179"/>
      <c r="U101" s="1179"/>
      <c r="V101" s="1179"/>
      <c r="W101" s="1179"/>
      <c r="X101" s="1179"/>
      <c r="Y101" s="1179"/>
      <c r="Z101" s="1179"/>
      <c r="AA101" s="1179"/>
      <c r="AB101" s="1179"/>
      <c r="AC101" s="1179"/>
      <c r="AD101" s="1179"/>
      <c r="AE101" s="1179"/>
      <c r="AF101" s="2507"/>
      <c r="AG101" s="2508"/>
      <c r="AH101" s="2508"/>
      <c r="AI101" s="2507"/>
      <c r="AJ101" s="2508"/>
      <c r="AK101" s="2508"/>
      <c r="AL101" s="1989"/>
      <c r="AM101" s="1824"/>
      <c r="AN101" s="1824"/>
      <c r="AO101" s="1824"/>
      <c r="AP101" s="1824"/>
      <c r="AQ101" s="1824"/>
      <c r="AR101" s="1824"/>
      <c r="AS101" s="1824"/>
      <c r="AT101" s="1824"/>
      <c r="AU101" s="1824"/>
      <c r="AV101" s="1824"/>
      <c r="AW101" s="1824"/>
      <c r="AX101" s="1824"/>
      <c r="AY101" s="1824"/>
      <c r="AZ101" s="1824"/>
      <c r="BA101" s="1824"/>
      <c r="BB101" s="1824"/>
      <c r="BC101" s="1824"/>
      <c r="BD101" s="1824"/>
      <c r="BE101" s="1824"/>
      <c r="BF101" s="1824"/>
    </row>
    <row s="1636" customFormat="1" customHeight="1" ht="11.25">
      <c r="A102" s="1167"/>
      <c r="B102" s="1167"/>
      <c r="C102" s="1167"/>
      <c r="D102" s="1161"/>
      <c r="E102" s="1171"/>
      <c r="F102" s="1830"/>
      <c r="G102" s="1831"/>
      <c r="H102" s="2516"/>
      <c r="I102" s="2517"/>
      <c r="J102" s="2486"/>
      <c r="K102" s="2518"/>
      <c r="L102" s="2108"/>
      <c r="M102" s="2109"/>
      <c r="N102" s="2509"/>
      <c r="O102" s="2510">
        <v>1</v>
      </c>
      <c r="P102" s="2511" t="s">
        <v>19</v>
      </c>
      <c r="Q102" s="2514" t="s">
        <v>28</v>
      </c>
      <c r="R102" s="2514" t="s">
        <v>28</v>
      </c>
      <c r="S102" s="2514" t="s">
        <v>28</v>
      </c>
      <c r="T102" s="2514" t="s">
        <v>28</v>
      </c>
      <c r="U102" s="2514" t="s">
        <v>28</v>
      </c>
      <c r="V102" s="2514" t="s">
        <v>28</v>
      </c>
      <c r="W102" s="2514" t="s">
        <v>28</v>
      </c>
      <c r="X102" s="2514" t="s">
        <v>28</v>
      </c>
      <c r="Y102" s="2514"/>
      <c r="Z102" s="1176"/>
      <c r="AA102" s="1177"/>
      <c r="AB102" s="1177"/>
      <c r="AC102" s="1181"/>
      <c r="AD102" s="1181"/>
      <c r="AE102" s="1182"/>
      <c r="AF102" s="2507"/>
      <c r="AG102" s="2508"/>
      <c r="AH102" s="2508"/>
      <c r="AI102" s="2507"/>
      <c r="AJ102" s="2508"/>
      <c r="AK102" s="2508"/>
      <c r="AL102" s="1989"/>
      <c r="AM102" s="1824"/>
      <c r="AN102" s="1824"/>
      <c r="AO102" s="1824"/>
      <c r="AP102" s="1824"/>
      <c r="AQ102" s="1824"/>
      <c r="AR102" s="1824"/>
      <c r="AS102" s="1824"/>
      <c r="AT102" s="1824"/>
      <c r="AU102" s="1824"/>
      <c r="AV102" s="1824"/>
      <c r="AW102" s="1824"/>
      <c r="AX102" s="1824"/>
      <c r="AY102" s="1824"/>
      <c r="AZ102" s="1824"/>
      <c r="BA102" s="1824"/>
      <c r="BB102" s="1824"/>
      <c r="BC102" s="1824"/>
      <c r="BD102" s="1824"/>
      <c r="BE102" s="1824"/>
      <c r="BF102" s="1824"/>
    </row>
    <row s="1636" customFormat="1" customHeight="1" ht="11.25">
      <c r="A103" s="1167"/>
      <c r="B103" s="1167"/>
      <c r="C103" s="1167"/>
      <c r="D103" s="1161"/>
      <c r="E103" s="1171"/>
      <c r="F103" s="1830"/>
      <c r="G103" s="1831"/>
      <c r="H103" s="2516"/>
      <c r="I103" s="2517"/>
      <c r="J103" s="2486"/>
      <c r="K103" s="2518"/>
      <c r="L103" s="2108"/>
      <c r="M103" s="2109"/>
      <c r="N103" s="2509"/>
      <c r="O103" s="2510"/>
      <c r="P103" s="2512"/>
      <c r="Q103" s="2514"/>
      <c r="R103" s="2514"/>
      <c r="S103" s="2515"/>
      <c r="T103" s="2514"/>
      <c r="U103" s="2514"/>
      <c r="V103" s="2514"/>
      <c r="W103" s="2514"/>
      <c r="X103" s="2514"/>
      <c r="Y103" s="2514"/>
      <c r="Z103" s="1829"/>
      <c r="AA103" s="1795">
        <v>1</v>
      </c>
      <c r="AB103" s="1180"/>
      <c r="AC103" s="1170"/>
      <c r="AD103" s="1180">
        <f>AB103</f>
        <v>0</v>
      </c>
      <c r="AE103" s="1170"/>
      <c r="AF103" s="2507"/>
      <c r="AG103" s="2508"/>
      <c r="AH103" s="2508"/>
      <c r="AI103" s="2507"/>
      <c r="AJ103" s="2508"/>
      <c r="AK103" s="2508"/>
      <c r="AL103" s="1989"/>
      <c r="AM103" s="1824"/>
      <c r="AN103" s="1824"/>
      <c r="AO103" s="1824"/>
      <c r="AP103" s="1824"/>
      <c r="AQ103" s="1824"/>
      <c r="AR103" s="1824"/>
      <c r="AS103" s="1824"/>
      <c r="AT103" s="1824"/>
      <c r="AU103" s="1824"/>
      <c r="AV103" s="1824"/>
      <c r="AW103" s="1824"/>
      <c r="AX103" s="1824"/>
      <c r="AY103" s="1824"/>
      <c r="AZ103" s="1824"/>
      <c r="BA103" s="1824"/>
      <c r="BB103" s="1824"/>
      <c r="BC103" s="1824"/>
      <c r="BD103" s="1824"/>
      <c r="BE103" s="1824"/>
      <c r="BF103" s="1824"/>
    </row>
    <row s="1636" customFormat="1" customHeight="1" ht="11.25">
      <c r="A104" s="1167"/>
      <c r="B104" s="1167"/>
      <c r="C104" s="1167"/>
      <c r="D104" s="1161"/>
      <c r="E104" s="1171"/>
      <c r="F104" s="1830"/>
      <c r="G104" s="1831"/>
      <c r="H104" s="2516"/>
      <c r="I104" s="2517"/>
      <c r="J104" s="2486"/>
      <c r="K104" s="2518"/>
      <c r="L104" s="2108"/>
      <c r="M104" s="2109"/>
      <c r="N104" s="2509"/>
      <c r="O104" s="2510"/>
      <c r="P104" s="2513"/>
      <c r="Q104" s="2514"/>
      <c r="R104" s="2514"/>
      <c r="S104" s="2515"/>
      <c r="T104" s="2514"/>
      <c r="U104" s="2514"/>
      <c r="V104" s="2514"/>
      <c r="W104" s="2514"/>
      <c r="X104" s="2514"/>
      <c r="Y104" s="2514"/>
      <c r="Z104" s="1176"/>
      <c r="AA104" s="1177"/>
      <c r="AB104" s="1242" t="s">
        <v>1941</v>
      </c>
      <c r="AC104" s="1181"/>
      <c r="AD104" s="1181"/>
      <c r="AE104" s="1183"/>
      <c r="AF104" s="2507"/>
      <c r="AG104" s="2508"/>
      <c r="AH104" s="2508"/>
      <c r="AI104" s="2507"/>
      <c r="AJ104" s="2508"/>
      <c r="AK104" s="2508"/>
      <c r="AL104" s="1989"/>
      <c r="AM104" s="1824"/>
      <c r="AN104" s="1824"/>
      <c r="AO104" s="1824"/>
      <c r="AP104" s="1824"/>
      <c r="AQ104" s="1824"/>
      <c r="AR104" s="1824"/>
      <c r="AS104" s="1824"/>
      <c r="AT104" s="1824"/>
      <c r="AU104" s="1824"/>
      <c r="AV104" s="1824"/>
      <c r="AW104" s="1824"/>
      <c r="AX104" s="1824"/>
      <c r="AY104" s="1824"/>
      <c r="AZ104" s="1824"/>
      <c r="BA104" s="1824"/>
      <c r="BB104" s="1824"/>
      <c r="BC104" s="1824"/>
      <c r="BD104" s="1824"/>
      <c r="BE104" s="1824"/>
      <c r="BF104" s="1824"/>
    </row>
    <row s="1636" customFormat="1" customHeight="1" ht="11.25">
      <c r="A105" s="1167"/>
      <c r="B105" s="1167"/>
      <c r="C105" s="1167"/>
      <c r="D105" s="1161"/>
      <c r="E105" s="1171"/>
      <c r="F105" s="1830"/>
      <c r="G105" s="1831"/>
      <c r="H105" s="2516"/>
      <c r="I105" s="2517"/>
      <c r="J105" s="2486"/>
      <c r="K105" s="2518"/>
      <c r="L105" s="2108"/>
      <c r="M105" s="2109"/>
      <c r="N105" s="1176"/>
      <c r="O105" s="1177"/>
      <c r="P105" s="1169" t="s">
        <v>1944</v>
      </c>
      <c r="Q105" s="1177"/>
      <c r="R105" s="1177"/>
      <c r="S105" s="1177"/>
      <c r="T105" s="1177"/>
      <c r="U105" s="1177"/>
      <c r="V105" s="1177"/>
      <c r="W105" s="1177"/>
      <c r="X105" s="1177"/>
      <c r="Y105" s="1177"/>
      <c r="Z105" s="1177"/>
      <c r="AA105" s="1177"/>
      <c r="AB105" s="1177"/>
      <c r="AC105" s="1177"/>
      <c r="AD105" s="1177"/>
      <c r="AE105" s="1184"/>
      <c r="AF105" s="2507"/>
      <c r="AG105" s="2508"/>
      <c r="AH105" s="2508"/>
      <c r="AI105" s="2507"/>
      <c r="AJ105" s="2508"/>
      <c r="AK105" s="2508"/>
      <c r="AL105" s="1989"/>
      <c r="AM105" s="1824"/>
      <c r="AN105" s="1824"/>
      <c r="AO105" s="1824"/>
      <c r="AP105" s="1824"/>
      <c r="AQ105" s="1824"/>
      <c r="AR105" s="1824"/>
      <c r="AS105" s="1824"/>
      <c r="AT105" s="1824"/>
      <c r="AU105" s="1824"/>
      <c r="AV105" s="1824"/>
      <c r="AW105" s="1824"/>
      <c r="AX105" s="1824"/>
      <c r="AY105" s="1824"/>
      <c r="AZ105" s="1824"/>
      <c r="BA105" s="1824"/>
      <c r="BB105" s="1824"/>
      <c r="BC105" s="1824"/>
      <c r="BD105" s="1824"/>
      <c r="BE105" s="1824"/>
      <c r="BF105" s="1824"/>
    </row>
    <row r="107" s="1816" customFormat="1" customHeight="1" ht="11.25">
      <c r="A107" s="1816" t="s">
        <v>1945</v>
      </c>
    </row>
    <row customHeight="1" ht="17.25"/>
    <row s="926" customFormat="1" customHeight="1" ht="21">
      <c r="A109" s="1168"/>
      <c r="B109" s="941"/>
      <c r="D109" s="925"/>
      <c r="E109" s="940" t="s">
        <v>28</v>
      </c>
      <c r="F109" s="1122">
        <f>INDEX(IP_MAIN_LIST_NAME_IP,MATCH(A109,IP_MAIN_LIST_IP_ID,0))&amp;" ("&amp;INDEX(IP_MAIN_START_DATE,MATCH(A109,IP_MAIN_LIST_IP_ID,0))&amp;"-"&amp;INDEX(IP_MAIN_END_DATE,MATCH(A109,IP_MAIN_LIST_IP_ID,0))&amp;")"</f>
      </c>
      <c r="G109" s="1204"/>
      <c r="H109" s="1205"/>
      <c r="I109" s="1205"/>
      <c r="J109" s="1205"/>
      <c r="K109" s="1205"/>
      <c r="L109" s="1205"/>
      <c r="M109" s="1205"/>
      <c r="N109" s="1205"/>
      <c r="O109" s="1204"/>
      <c r="P109" s="1204"/>
      <c r="Q109" s="1204"/>
      <c r="R109" s="1204"/>
      <c r="S109" s="1204"/>
      <c r="T109" s="1204"/>
      <c r="U109" s="1206"/>
      <c r="V109" s="1206"/>
      <c r="W109" s="1206"/>
      <c r="X109" s="1206"/>
      <c r="Y109" s="1206"/>
      <c r="Z109" s="1206"/>
      <c r="AA109" s="1206"/>
      <c r="AB109" s="1204"/>
      <c r="AC109" s="1205"/>
      <c r="AD109" s="1205"/>
      <c r="AE109" s="1205"/>
      <c r="AF109" s="1205"/>
      <c r="AG109" s="1205"/>
      <c r="AH109" s="1205"/>
      <c r="AI109" s="1205"/>
      <c r="AJ109" s="1205"/>
      <c r="AK109" s="1205"/>
      <c r="AL109" s="1205"/>
      <c r="AM109" s="1205"/>
      <c r="AN109" s="1205"/>
      <c r="AO109" s="1205"/>
      <c r="AP109" s="1205"/>
      <c r="AQ109" s="1205"/>
      <c r="AR109" s="1205"/>
      <c r="AS109" s="1205"/>
      <c r="AT109" s="1205"/>
      <c r="AU109" s="1205"/>
      <c r="AV109" s="1205"/>
      <c r="AW109" s="1205"/>
      <c r="AX109" s="1205"/>
      <c r="AY109" s="1205"/>
      <c r="AZ109" s="1205"/>
      <c r="BA109" s="1205"/>
      <c r="BB109" s="1205"/>
      <c r="BC109" s="1205"/>
      <c r="BD109" s="1205"/>
      <c r="BE109" s="1205"/>
      <c r="BF109" s="1205"/>
      <c r="BG109" s="1205"/>
      <c r="BH109" s="1205"/>
      <c r="BI109" s="1205"/>
      <c r="BJ109" s="1205"/>
      <c r="BK109" s="1205"/>
      <c r="BL109" s="1205"/>
      <c r="BM109" s="1205"/>
      <c r="BN109" s="1205"/>
      <c r="BO109" s="1205"/>
      <c r="BP109" s="1205"/>
      <c r="BQ109" s="1205"/>
      <c r="BR109" s="1205"/>
      <c r="BS109" s="1205"/>
      <c r="BT109" s="1205"/>
      <c r="BU109" s="1205"/>
      <c r="BV109" s="1205"/>
      <c r="BW109" s="1205"/>
      <c r="BX109" s="1205"/>
      <c r="BY109" s="1205"/>
      <c r="BZ109" s="1205"/>
      <c r="CA109" s="1205"/>
      <c r="CB109" s="1205"/>
      <c r="CC109" s="1205"/>
      <c r="CD109" s="1205"/>
      <c r="CE109" s="1205"/>
      <c r="CF109" s="1205"/>
      <c r="CG109" s="1205"/>
      <c r="CH109" s="1205"/>
      <c r="CI109" s="1205"/>
      <c r="CJ109" s="1205"/>
      <c r="CK109" s="1205"/>
      <c r="CL109" s="1207"/>
      <c r="CM109" s="1207"/>
      <c r="CN109" s="1207"/>
      <c r="CO109" s="1207"/>
      <c r="CP109" s="1207"/>
      <c r="CQ109" s="1207"/>
      <c r="CR109" s="1207"/>
      <c r="CS109" s="1207"/>
      <c r="CT109" s="1207"/>
      <c r="CU109" s="1207"/>
      <c r="CV109" s="1207"/>
      <c r="CW109" s="1207"/>
      <c r="CX109" s="1207"/>
      <c r="CY109" s="1207"/>
      <c r="CZ109" s="1207"/>
      <c r="DA109" s="1207"/>
      <c r="DB109" s="1207"/>
      <c r="DC109" s="1207"/>
      <c r="DD109" s="1207"/>
      <c r="DE109" s="1207"/>
      <c r="DF109" s="1207"/>
      <c r="DG109" s="1207"/>
      <c r="DH109" s="1207"/>
      <c r="DI109" s="1207"/>
      <c r="DJ109" s="1207"/>
      <c r="DK109" s="1207"/>
      <c r="DL109" s="1207"/>
      <c r="DM109" s="1207"/>
      <c r="DN109" s="1207"/>
      <c r="DO109" s="1207"/>
      <c r="DP109" s="1207"/>
      <c r="DQ109" s="1207"/>
      <c r="DR109" s="1207"/>
      <c r="DS109" s="1207"/>
      <c r="DT109" s="1207"/>
      <c r="DU109" s="1207"/>
      <c r="DV109" s="1207"/>
      <c r="DW109" s="1207"/>
      <c r="DX109" s="1207"/>
      <c r="DY109" s="1207"/>
      <c r="DZ109" s="1207"/>
      <c r="EA109" s="1207"/>
      <c r="EB109" s="1207"/>
      <c r="EC109" s="1207"/>
      <c r="ED109" s="1207"/>
      <c r="EE109" s="1207"/>
      <c r="EF109" s="1207"/>
      <c r="EG109" s="1207"/>
      <c r="EH109" s="1207"/>
      <c r="EI109" s="1207"/>
      <c r="EJ109" s="1207"/>
      <c r="EK109" s="1207"/>
      <c r="EL109" s="1207"/>
      <c r="EM109" s="1207"/>
      <c r="EN109" s="1207"/>
      <c r="EO109" s="1207"/>
      <c r="EP109" s="1207"/>
      <c r="EQ109" s="1207"/>
      <c r="ER109" s="1207"/>
      <c r="ES109" s="1207"/>
      <c r="ET109" s="1207"/>
      <c r="EU109" s="1207"/>
      <c r="EV109" s="1207"/>
      <c r="EW109" s="1207"/>
      <c r="EX109" s="1207"/>
      <c r="EY109" s="1207"/>
      <c r="EZ109" s="1207"/>
      <c r="FA109" s="1207"/>
      <c r="FB109" s="1207"/>
      <c r="FC109" s="1207"/>
      <c r="FD109" s="1207"/>
      <c r="FE109" s="1207"/>
      <c r="FF109" s="1207"/>
      <c r="FG109" s="1207"/>
      <c r="FH109" s="1207"/>
      <c r="FI109" s="1207"/>
      <c r="FJ109" s="1207"/>
      <c r="FK109" s="1207"/>
      <c r="FL109" s="1207"/>
      <c r="FM109" s="1207"/>
      <c r="FN109" s="1207"/>
      <c r="FO109" s="1207"/>
      <c r="FP109" s="1207"/>
      <c r="FQ109" s="1207"/>
      <c r="FR109" s="1207"/>
      <c r="FS109" s="1207"/>
      <c r="FT109" s="1207"/>
      <c r="FU109" s="1207"/>
      <c r="FV109" s="1208"/>
      <c r="FW109" s="1202"/>
      <c r="FX109" s="1203"/>
    </row>
    <row s="926" customFormat="1" customHeight="1" ht="24.75">
      <c r="B110" s="924"/>
      <c r="C110" s="925"/>
      <c r="D110" s="925"/>
      <c r="E110" s="1836"/>
      <c r="F110" s="1209">
        <v>1</v>
      </c>
      <c r="G110" s="1210"/>
      <c r="H110" s="1211"/>
      <c r="I110" s="1983"/>
      <c r="J110" s="1212"/>
      <c r="K110" s="1212"/>
      <c r="L110" s="1212"/>
      <c r="M110" s="1212"/>
      <c r="N110" s="1212"/>
      <c r="O110" s="1213"/>
      <c r="P110" s="1213"/>
      <c r="Q110" s="1213"/>
      <c r="R110" s="1213"/>
      <c r="S110" s="1213"/>
      <c r="T110" s="1213"/>
      <c r="U110" s="1213"/>
      <c r="V110" s="1213"/>
      <c r="W110" s="1213"/>
      <c r="X110" s="1213"/>
      <c r="Y110" s="1213"/>
      <c r="Z110" s="1213"/>
      <c r="AA110" s="1213"/>
      <c r="AB110" s="1213"/>
      <c r="AC110" s="1212"/>
      <c r="AD110" s="1212"/>
      <c r="AE110" s="1212"/>
      <c r="AF110" s="1212"/>
      <c r="AG110" s="1212"/>
      <c r="AH110" s="1212"/>
      <c r="AI110" s="1212"/>
      <c r="AJ110" s="1212"/>
      <c r="AK110" s="1212"/>
      <c r="AL110" s="1212"/>
      <c r="AM110" s="1212"/>
      <c r="AN110" s="1212"/>
      <c r="AO110" s="1212"/>
      <c r="AP110" s="1212"/>
      <c r="AQ110" s="1212"/>
      <c r="AR110" s="1212"/>
      <c r="AS110" s="1212"/>
      <c r="AT110" s="1212"/>
      <c r="AU110" s="1212"/>
      <c r="AV110" s="1212"/>
      <c r="AW110" s="1212"/>
      <c r="AX110" s="1212"/>
      <c r="AY110" s="1212"/>
      <c r="AZ110" s="1212"/>
      <c r="BA110" s="1212"/>
      <c r="BB110" s="1212"/>
      <c r="BC110" s="1212"/>
      <c r="BD110" s="1212"/>
      <c r="BE110" s="1212"/>
      <c r="BF110" s="1212"/>
      <c r="BG110" s="1212"/>
      <c r="BH110" s="1212"/>
      <c r="BI110" s="1212"/>
      <c r="BJ110" s="1212"/>
      <c r="BK110" s="1212"/>
      <c r="BL110" s="1212"/>
      <c r="BM110" s="1212"/>
      <c r="BN110" s="1212"/>
      <c r="BO110" s="1212"/>
      <c r="BP110" s="1212"/>
      <c r="BQ110" s="1212"/>
      <c r="BR110" s="1212"/>
      <c r="BS110" s="1212"/>
      <c r="BT110" s="1213"/>
      <c r="BU110" s="1213"/>
      <c r="BV110" s="1213"/>
      <c r="BW110" s="1213"/>
      <c r="BX110" s="1213"/>
      <c r="BY110" s="1213"/>
      <c r="BZ110" s="1213"/>
      <c r="CA110" s="1213"/>
      <c r="CB110" s="1213"/>
      <c r="CC110" s="1213"/>
      <c r="CD110" s="1213"/>
      <c r="CE110" s="1213"/>
      <c r="CF110" s="1213"/>
      <c r="CG110" s="1213"/>
      <c r="CH110" s="1213"/>
      <c r="CI110" s="1213"/>
      <c r="CJ110" s="1213"/>
      <c r="CK110" s="1213"/>
      <c r="CL110" s="1212"/>
      <c r="CM110" s="1212"/>
      <c r="CN110" s="1212"/>
      <c r="CO110" s="1212"/>
      <c r="CP110" s="1212"/>
      <c r="CQ110" s="1212"/>
      <c r="CR110" s="1212"/>
      <c r="CS110" s="1212"/>
      <c r="CT110" s="1212"/>
      <c r="CU110" s="1212"/>
      <c r="CV110" s="1212"/>
      <c r="CW110" s="1212"/>
      <c r="CX110" s="1212"/>
      <c r="CY110" s="1213"/>
      <c r="CZ110" s="1213"/>
      <c r="DA110" s="1213"/>
      <c r="DB110" s="1213"/>
      <c r="DC110" s="1213"/>
      <c r="DD110" s="1213"/>
      <c r="DE110" s="1213"/>
      <c r="DF110" s="1213"/>
      <c r="DG110" s="1213"/>
      <c r="DH110" s="1213"/>
      <c r="DI110" s="1213"/>
      <c r="DJ110" s="1213"/>
      <c r="DK110" s="1212"/>
      <c r="DL110" s="1212"/>
      <c r="DM110" s="1212"/>
      <c r="DN110" s="1212"/>
      <c r="DO110" s="1212"/>
      <c r="DP110" s="1212"/>
      <c r="DQ110" s="1212"/>
      <c r="DR110" s="1212"/>
      <c r="DS110" s="1212"/>
      <c r="DT110" s="1212"/>
      <c r="DU110" s="1212"/>
      <c r="DV110" s="1212"/>
      <c r="DW110" s="1212"/>
      <c r="DX110" s="1212"/>
      <c r="DY110" s="1212"/>
      <c r="DZ110" s="1212"/>
      <c r="EA110" s="1212"/>
      <c r="EB110" s="1212"/>
      <c r="EC110" s="1212"/>
      <c r="ED110" s="1212"/>
      <c r="EE110" s="1212"/>
      <c r="EF110" s="1212"/>
      <c r="EG110" s="1212"/>
      <c r="EH110" s="1212"/>
      <c r="EI110" s="1212"/>
      <c r="EJ110" s="1212"/>
      <c r="EK110" s="1212"/>
      <c r="EL110" s="1212"/>
      <c r="EM110" s="1212"/>
      <c r="EN110" s="1212"/>
      <c r="EO110" s="1212"/>
      <c r="EP110" s="1212"/>
      <c r="EQ110" s="1212"/>
      <c r="ER110" s="1212"/>
      <c r="ES110" s="1212"/>
      <c r="ET110" s="1212"/>
      <c r="EU110" s="1212"/>
      <c r="EV110" s="1212"/>
      <c r="EW110" s="1212"/>
      <c r="EX110" s="1212"/>
      <c r="EY110" s="1212"/>
      <c r="EZ110" s="1212"/>
      <c r="FA110" s="1212"/>
      <c r="FB110" s="1212"/>
      <c r="FC110" s="1212"/>
      <c r="FD110" s="1212"/>
      <c r="FE110" s="1212"/>
      <c r="FF110" s="1212"/>
      <c r="FG110" s="1212"/>
      <c r="FH110" s="1212"/>
      <c r="FI110" s="1212"/>
      <c r="FJ110" s="1212"/>
      <c r="FK110" s="1212"/>
      <c r="FL110" s="1212"/>
      <c r="FM110" s="1212"/>
      <c r="FN110" s="1212"/>
      <c r="FO110" s="1212"/>
      <c r="FP110" s="1212"/>
      <c r="FQ110" s="1212"/>
      <c r="FR110" s="1212"/>
      <c r="FS110" s="1212"/>
      <c r="FT110" s="1212"/>
      <c r="FU110" s="1212"/>
      <c r="FV110" s="1212"/>
      <c r="FW110" s="1212"/>
      <c r="FX110" s="1203"/>
    </row>
    <row s="926" customFormat="1" customHeight="1" ht="12">
      <c r="A111" s="925"/>
      <c r="B111" s="924"/>
      <c r="C111" s="925"/>
      <c r="D111" s="925"/>
      <c r="E111" s="925"/>
      <c r="F111" s="1214"/>
      <c r="G111" s="1801" t="s">
        <v>1946</v>
      </c>
      <c r="H111" s="1215"/>
      <c r="I111" s="1215"/>
      <c r="J111" s="1215"/>
      <c r="K111" s="1215"/>
      <c r="L111" s="1215"/>
      <c r="M111" s="1215"/>
      <c r="N111" s="1215"/>
      <c r="O111" s="1215"/>
      <c r="P111" s="1215"/>
      <c r="Q111" s="1215"/>
      <c r="R111" s="1215"/>
      <c r="S111" s="1215"/>
      <c r="T111" s="1215"/>
      <c r="U111" s="1215"/>
      <c r="V111" s="1215"/>
      <c r="W111" s="1215"/>
      <c r="X111" s="1215"/>
      <c r="Y111" s="1215"/>
      <c r="Z111" s="1215"/>
      <c r="AA111" s="1215"/>
      <c r="AB111" s="1215"/>
      <c r="AC111" s="1215"/>
      <c r="AD111" s="1215"/>
      <c r="AE111" s="1215"/>
      <c r="AF111" s="1215"/>
      <c r="AG111" s="1215"/>
      <c r="AH111" s="1215"/>
      <c r="AI111" s="1215"/>
      <c r="AJ111" s="1215"/>
      <c r="AK111" s="1215"/>
      <c r="AL111" s="1215"/>
      <c r="AM111" s="1215"/>
      <c r="AN111" s="1215"/>
      <c r="AO111" s="1215"/>
      <c r="AP111" s="1215"/>
      <c r="AQ111" s="1215"/>
      <c r="AR111" s="1215"/>
      <c r="AS111" s="1215"/>
      <c r="AT111" s="1215"/>
      <c r="AU111" s="1215"/>
      <c r="AV111" s="1215"/>
      <c r="AW111" s="1215"/>
      <c r="AX111" s="1215"/>
      <c r="AY111" s="1215"/>
      <c r="AZ111" s="1215"/>
      <c r="BA111" s="1215"/>
      <c r="BB111" s="1215"/>
      <c r="BC111" s="1215"/>
      <c r="BD111" s="1215"/>
      <c r="BE111" s="1215"/>
      <c r="BF111" s="1215"/>
      <c r="BG111" s="1215"/>
      <c r="BH111" s="1215"/>
      <c r="BI111" s="1215"/>
      <c r="BJ111" s="1215"/>
      <c r="BK111" s="1215"/>
      <c r="BL111" s="1215"/>
      <c r="BM111" s="1215"/>
      <c r="BN111" s="1215"/>
      <c r="BO111" s="1215"/>
      <c r="BP111" s="1215"/>
      <c r="BQ111" s="1215"/>
      <c r="BR111" s="1215"/>
      <c r="BS111" s="1215"/>
      <c r="BT111" s="1215"/>
      <c r="BU111" s="1215"/>
      <c r="BV111" s="1215"/>
      <c r="BW111" s="1215"/>
      <c r="BX111" s="1215"/>
      <c r="BY111" s="1215"/>
      <c r="BZ111" s="1215"/>
      <c r="CA111" s="1215"/>
      <c r="CB111" s="1215"/>
      <c r="CC111" s="1215"/>
      <c r="CD111" s="1215"/>
      <c r="CE111" s="1215"/>
      <c r="CF111" s="1215"/>
      <c r="CG111" s="1215"/>
      <c r="CH111" s="1215"/>
      <c r="CI111" s="1215"/>
      <c r="CJ111" s="1215"/>
      <c r="CK111" s="1215"/>
      <c r="CL111" s="1215"/>
      <c r="CM111" s="1215"/>
      <c r="CN111" s="1215"/>
      <c r="CO111" s="1215"/>
      <c r="CP111" s="1215"/>
      <c r="CQ111" s="1215"/>
      <c r="CR111" s="1215"/>
      <c r="CS111" s="1215"/>
      <c r="CT111" s="1215"/>
      <c r="CU111" s="1215"/>
      <c r="CV111" s="1215"/>
      <c r="CW111" s="1215"/>
      <c r="CX111" s="1215"/>
      <c r="CY111" s="1215"/>
      <c r="CZ111" s="1215"/>
      <c r="DA111" s="1215"/>
      <c r="DB111" s="1215"/>
      <c r="DC111" s="1215"/>
      <c r="DD111" s="1215"/>
      <c r="DE111" s="1215"/>
      <c r="DF111" s="1215"/>
      <c r="DG111" s="1215"/>
      <c r="DH111" s="1215"/>
      <c r="DI111" s="1215"/>
      <c r="DJ111" s="1215"/>
      <c r="DK111" s="1215"/>
      <c r="DL111" s="1215"/>
      <c r="DM111" s="1215"/>
      <c r="DN111" s="1215"/>
      <c r="DO111" s="1215"/>
      <c r="DP111" s="1215"/>
      <c r="DQ111" s="1215"/>
      <c r="DR111" s="1215"/>
      <c r="DS111" s="1215"/>
      <c r="DT111" s="1215"/>
      <c r="DU111" s="1215"/>
      <c r="DV111" s="1215"/>
      <c r="DW111" s="1215"/>
      <c r="DX111" s="1215"/>
      <c r="DY111" s="1215"/>
      <c r="DZ111" s="1215"/>
      <c r="EA111" s="1215"/>
      <c r="EB111" s="1215"/>
      <c r="EC111" s="1215"/>
      <c r="ED111" s="1215"/>
      <c r="EE111" s="1215"/>
      <c r="EF111" s="1215"/>
      <c r="EG111" s="1215"/>
      <c r="EH111" s="1215"/>
      <c r="EI111" s="1215"/>
      <c r="EJ111" s="1215"/>
      <c r="EK111" s="1215"/>
      <c r="EL111" s="1215"/>
      <c r="EM111" s="1215"/>
      <c r="EN111" s="1215"/>
      <c r="EO111" s="1215"/>
      <c r="EP111" s="1215"/>
      <c r="EQ111" s="1215"/>
      <c r="ER111" s="1215"/>
      <c r="ES111" s="1215"/>
      <c r="ET111" s="1215"/>
      <c r="EU111" s="1215"/>
      <c r="EV111" s="1215"/>
      <c r="EW111" s="1215"/>
      <c r="EX111" s="1215"/>
      <c r="EY111" s="1215"/>
      <c r="EZ111" s="1215"/>
      <c r="FA111" s="1215"/>
      <c r="FB111" s="1215"/>
      <c r="FC111" s="1215"/>
      <c r="FD111" s="1215"/>
      <c r="FE111" s="1215"/>
      <c r="FF111" s="1215"/>
      <c r="FG111" s="1215"/>
      <c r="FH111" s="1215"/>
      <c r="FI111" s="1215"/>
      <c r="FJ111" s="1215"/>
      <c r="FK111" s="1215"/>
      <c r="FL111" s="1215"/>
      <c r="FM111" s="1215"/>
      <c r="FN111" s="1215"/>
      <c r="FO111" s="1215"/>
      <c r="FP111" s="1215"/>
      <c r="FQ111" s="1215"/>
      <c r="FR111" s="1215"/>
      <c r="FS111" s="1215"/>
      <c r="FT111" s="1215"/>
      <c r="FU111" s="1215"/>
      <c r="FV111" s="1215"/>
      <c r="FW111" s="1216"/>
      <c r="FX111" s="1217"/>
      <c r="FY111" s="942"/>
      <c r="FZ111" s="942"/>
      <c r="GA111" s="942"/>
      <c r="GB111" s="942"/>
    </row>
    <row r="113" s="1816" customFormat="1" customHeight="1" ht="11.25">
      <c r="A113" s="1816" t="s">
        <v>1947</v>
      </c>
    </row>
    <row r="115" s="1851" customFormat="1" customHeight="1" ht="15">
      <c r="A115" s="624"/>
      <c r="B115" s="625"/>
      <c r="C115" s="625"/>
      <c r="D115" s="2579" t="s">
        <v>118</v>
      </c>
      <c r="E115" s="2378" t="s">
        <v>114</v>
      </c>
      <c r="F115" s="2379"/>
      <c r="G115" s="2380"/>
      <c r="H115" s="2384" t="str">
        <f>IF(A115="","",INDEX(DIFFERENTIATION_UNMERGE_VD,MATCH(A115,DIFFERENTIATION_ID_DIFF,0)))</f>
        <v/>
      </c>
      <c r="I115" s="2384"/>
      <c r="J115" s="2384"/>
      <c r="K115" s="2384"/>
      <c r="L115" s="2384"/>
      <c r="M115" s="2384"/>
      <c r="N115" s="2384"/>
      <c r="O115" s="2384"/>
      <c r="P115" s="2384"/>
      <c r="Q115" s="2384"/>
      <c r="R115" s="2384"/>
      <c r="S115" s="720"/>
      <c r="T115" s="717"/>
      <c r="U115" s="626"/>
      <c r="V115" s="626"/>
      <c r="W115" s="627"/>
      <c r="X115" s="627"/>
      <c r="Y115" s="627"/>
      <c r="Z115" s="627"/>
      <c r="AA115" s="628"/>
      <c r="AB115" s="629"/>
      <c r="AC115" s="2376"/>
      <c r="AD115" s="630"/>
      <c r="AE115" s="631" t="s">
        <v>28</v>
      </c>
      <c r="AF115" s="631"/>
      <c r="AG115" s="632" t="s">
        <v>628</v>
      </c>
      <c r="AH115" s="633">
        <v>3</v>
      </c>
      <c r="AI115" s="626"/>
      <c r="AJ115" s="626"/>
      <c r="AK115" s="626"/>
      <c r="AL115" s="626"/>
      <c r="AM115" s="626"/>
      <c r="AN115" s="626"/>
      <c r="AO115" s="626"/>
      <c r="AP115" s="626"/>
      <c r="AQ115" s="626"/>
      <c r="AR115" s="626"/>
      <c r="AS115" s="626"/>
      <c r="AT115" s="626"/>
      <c r="AU115" s="626"/>
      <c r="AV115" s="626"/>
      <c r="AW115" s="626"/>
      <c r="AX115" s="626"/>
      <c r="AY115" s="626"/>
      <c r="AZ115" s="626"/>
      <c r="BA115" s="626"/>
      <c r="BB115" s="626"/>
      <c r="BC115" s="626"/>
      <c r="BD115" s="626"/>
      <c r="BE115" s="626"/>
      <c r="BF115" s="626"/>
      <c r="BG115" s="626"/>
      <c r="BH115" s="626"/>
      <c r="BI115" s="626"/>
      <c r="BJ115" s="626"/>
      <c r="BK115" s="626"/>
      <c r="BL115" s="626"/>
      <c r="BM115" s="626"/>
      <c r="BN115" s="626"/>
      <c r="BO115" s="626"/>
      <c r="BP115" s="626"/>
      <c r="BQ115" s="626"/>
      <c r="BR115" s="626"/>
      <c r="BS115" s="626"/>
      <c r="BT115" s="626"/>
      <c r="BU115" s="626"/>
      <c r="BV115" s="627"/>
      <c r="BW115" s="627"/>
      <c r="BX115" s="627"/>
      <c r="BY115" s="627"/>
      <c r="BZ115" s="627"/>
      <c r="CA115" s="627"/>
      <c r="CB115" s="627"/>
      <c r="CC115" s="627"/>
      <c r="CD115" s="627"/>
      <c r="CE115" s="627"/>
    </row>
    <row s="1851" customFormat="1" customHeight="1" ht="15">
      <c r="A116" s="624"/>
      <c r="B116" s="625"/>
      <c r="C116" s="625"/>
      <c r="D116" s="2580"/>
      <c r="E116" s="2378" t="s">
        <v>583</v>
      </c>
      <c r="F116" s="2379"/>
      <c r="G116" s="2380"/>
      <c r="H116" s="2384" t="str">
        <f>IF(A115="","",INDEX(DIFFERENTIATION_UNMERGE_AREA,MATCH(A115,DIFFERENTIATION_ID_DIFF,0)))</f>
        <v/>
      </c>
      <c r="I116" s="2384"/>
      <c r="J116" s="2384"/>
      <c r="K116" s="2384"/>
      <c r="L116" s="2384"/>
      <c r="M116" s="2384"/>
      <c r="N116" s="2384"/>
      <c r="O116" s="2384"/>
      <c r="P116" s="2384"/>
      <c r="Q116" s="2384"/>
      <c r="R116" s="2384"/>
      <c r="S116" s="720"/>
      <c r="T116" s="717"/>
      <c r="U116" s="626"/>
      <c r="V116" s="626"/>
      <c r="W116" s="627"/>
      <c r="X116" s="627"/>
      <c r="Y116" s="627"/>
      <c r="Z116" s="627"/>
      <c r="AA116" s="628"/>
      <c r="AB116" s="629"/>
      <c r="AC116" s="2376"/>
      <c r="AD116" s="630"/>
      <c r="AE116" s="631"/>
      <c r="AF116" s="631"/>
      <c r="AG116" s="632"/>
      <c r="AH116" s="633"/>
      <c r="AI116" s="626"/>
      <c r="AJ116" s="626"/>
      <c r="AK116" s="626"/>
      <c r="AL116" s="626"/>
      <c r="AM116" s="626"/>
      <c r="AN116" s="626"/>
      <c r="AO116" s="626"/>
      <c r="AP116" s="626"/>
      <c r="AQ116" s="626"/>
      <c r="AR116" s="626"/>
      <c r="AS116" s="626"/>
      <c r="AT116" s="626"/>
      <c r="AU116" s="626"/>
      <c r="AV116" s="626"/>
      <c r="AW116" s="626"/>
      <c r="AX116" s="626"/>
      <c r="AY116" s="626"/>
      <c r="AZ116" s="626"/>
      <c r="BA116" s="626"/>
      <c r="BB116" s="626"/>
      <c r="BC116" s="626"/>
      <c r="BD116" s="626"/>
      <c r="BE116" s="626"/>
      <c r="BF116" s="626"/>
      <c r="BG116" s="626"/>
      <c r="BH116" s="626"/>
      <c r="BI116" s="626"/>
      <c r="BJ116" s="626"/>
      <c r="BK116" s="626"/>
      <c r="BL116" s="626"/>
      <c r="BM116" s="626"/>
      <c r="BN116" s="626"/>
      <c r="BO116" s="626"/>
      <c r="BP116" s="626"/>
      <c r="BQ116" s="626"/>
      <c r="BR116" s="626"/>
      <c r="BS116" s="626"/>
      <c r="BT116" s="626"/>
      <c r="BU116" s="626"/>
      <c r="BV116" s="627"/>
      <c r="BW116" s="627"/>
      <c r="BX116" s="627"/>
      <c r="BY116" s="627"/>
      <c r="BZ116" s="627"/>
      <c r="CA116" s="627"/>
      <c r="CB116" s="627"/>
      <c r="CC116" s="627"/>
      <c r="CD116" s="627"/>
      <c r="CE116" s="627"/>
    </row>
    <row s="1851" customFormat="1" customHeight="1" ht="15">
      <c r="A117" s="624"/>
      <c r="B117" s="625"/>
      <c r="C117" s="625"/>
      <c r="D117" s="2580"/>
      <c r="E117" s="2378" t="s">
        <v>584</v>
      </c>
      <c r="F117" s="2379"/>
      <c r="G117" s="2380"/>
      <c r="H117" s="2384" t="str">
        <f>IF(A115="","",INDEX(DIFFERENTIATION_UNMERGE_SYSTEM,MATCH(A115,DIFFERENTIATION_ID_DIFF,0)))</f>
        <v/>
      </c>
      <c r="I117" s="2384"/>
      <c r="J117" s="2384"/>
      <c r="K117" s="2384"/>
      <c r="L117" s="2384"/>
      <c r="M117" s="2384"/>
      <c r="N117" s="2384"/>
      <c r="O117" s="2384"/>
      <c r="P117" s="2384"/>
      <c r="Q117" s="2384"/>
      <c r="R117" s="2384"/>
      <c r="S117" s="720"/>
      <c r="T117" s="717"/>
      <c r="U117" s="626"/>
      <c r="V117" s="626"/>
      <c r="W117" s="627"/>
      <c r="X117" s="627"/>
      <c r="Y117" s="627"/>
      <c r="Z117" s="627"/>
      <c r="AA117" s="628"/>
      <c r="AB117" s="629"/>
      <c r="AC117" s="2376"/>
      <c r="AD117" s="630"/>
      <c r="AE117" s="631"/>
      <c r="AF117" s="631"/>
      <c r="AG117" s="632"/>
      <c r="AH117" s="633"/>
      <c r="AI117" s="626"/>
      <c r="AJ117" s="626"/>
      <c r="AK117" s="626"/>
      <c r="AL117" s="626"/>
      <c r="AM117" s="626"/>
      <c r="AN117" s="626"/>
      <c r="AO117" s="626"/>
      <c r="AP117" s="626"/>
      <c r="AQ117" s="626"/>
      <c r="AR117" s="626"/>
      <c r="AS117" s="626"/>
      <c r="AT117" s="626"/>
      <c r="AU117" s="626"/>
      <c r="AV117" s="626"/>
      <c r="AW117" s="626"/>
      <c r="AX117" s="626"/>
      <c r="AY117" s="626"/>
      <c r="AZ117" s="626"/>
      <c r="BA117" s="626"/>
      <c r="BB117" s="626"/>
      <c r="BC117" s="626"/>
      <c r="BD117" s="626"/>
      <c r="BE117" s="626"/>
      <c r="BF117" s="626"/>
      <c r="BG117" s="626"/>
      <c r="BH117" s="626"/>
      <c r="BI117" s="626"/>
      <c r="BJ117" s="626"/>
      <c r="BK117" s="626"/>
      <c r="BL117" s="626"/>
      <c r="BM117" s="626"/>
      <c r="BN117" s="626"/>
      <c r="BO117" s="626"/>
      <c r="BP117" s="626"/>
      <c r="BQ117" s="626"/>
      <c r="BR117" s="626"/>
      <c r="BS117" s="626"/>
      <c r="BT117" s="626"/>
      <c r="BU117" s="626"/>
      <c r="BV117" s="627"/>
      <c r="BW117" s="627"/>
      <c r="BX117" s="627"/>
      <c r="BY117" s="627"/>
      <c r="BZ117" s="627"/>
      <c r="CA117" s="627"/>
      <c r="CB117" s="627"/>
      <c r="CC117" s="627"/>
      <c r="CD117" s="627"/>
      <c r="CE117" s="627"/>
    </row>
    <row s="1851" customFormat="1" customHeight="1" ht="24.75">
      <c r="A118" s="1807"/>
      <c r="B118" s="1161"/>
      <c r="C118" s="413"/>
      <c r="D118" s="2580"/>
      <c r="E118" s="2377" t="s">
        <v>629</v>
      </c>
      <c r="F118" s="2377"/>
      <c r="G118" s="2377"/>
      <c r="H118" s="2377"/>
      <c r="I118" s="2377"/>
      <c r="J118" s="2377"/>
      <c r="K118" s="2377"/>
      <c r="L118" s="2377"/>
      <c r="M118" s="2377"/>
      <c r="N118" s="2377"/>
      <c r="O118" s="2377"/>
      <c r="P118" s="2377"/>
      <c r="Q118" s="559">
        <f>SUMIF(T119:T120,"i",Q119:Q120)</f>
        <v>0</v>
      </c>
      <c r="R118" s="1018"/>
      <c r="S118" s="1799" t="s">
        <v>630</v>
      </c>
      <c r="T118" s="718" t="s">
        <v>631</v>
      </c>
      <c r="U118" s="2375">
        <v>1</v>
      </c>
      <c r="V118" s="2375" t="s">
        <v>594</v>
      </c>
      <c r="W118" s="1161"/>
      <c r="X118" s="1161"/>
      <c r="Y118" s="1161"/>
      <c r="Z118" s="1161"/>
      <c r="AA118" s="1637"/>
      <c r="AB118" s="1161"/>
      <c r="AC118" s="2376"/>
      <c r="AD118" s="630"/>
      <c r="AE118" s="1161"/>
      <c r="AF118" s="1161"/>
      <c r="AG118" s="1637"/>
      <c r="AH118" s="1637"/>
      <c r="AI118" s="1637"/>
      <c r="AJ118" s="1637"/>
      <c r="AK118" s="1637"/>
      <c r="AL118" s="1637"/>
      <c r="AM118" s="1637"/>
      <c r="AN118" s="1637"/>
      <c r="AO118" s="1637"/>
      <c r="AP118" s="1637"/>
      <c r="AQ118" s="1637"/>
      <c r="AR118" s="1637"/>
      <c r="AS118" s="1637"/>
      <c r="AT118" s="1637"/>
      <c r="AU118" s="1637"/>
      <c r="AV118" s="1637"/>
      <c r="AW118" s="1637"/>
      <c r="AX118" s="1637"/>
      <c r="AY118" s="1637"/>
      <c r="AZ118" s="1637"/>
      <c r="BA118" s="1637"/>
      <c r="BB118" s="1637"/>
      <c r="BC118" s="1637"/>
      <c r="BD118" s="1637"/>
      <c r="BE118" s="1637"/>
      <c r="BF118" s="1637"/>
      <c r="BG118" s="1637"/>
      <c r="BH118" s="1637"/>
      <c r="BI118" s="1637"/>
      <c r="BJ118" s="1637"/>
      <c r="BK118" s="1637"/>
      <c r="BL118" s="1637"/>
      <c r="BM118" s="1637"/>
      <c r="BN118" s="1637"/>
      <c r="BO118" s="1637"/>
      <c r="BP118" s="1637"/>
      <c r="BQ118" s="1637"/>
      <c r="BR118" s="1637"/>
      <c r="BS118" s="1637"/>
      <c r="BT118" s="1637"/>
      <c r="BU118" s="1637"/>
      <c r="BV118" s="1161"/>
      <c r="BW118" s="1161"/>
      <c r="BX118" s="1161"/>
      <c r="BY118" s="1161"/>
      <c r="BZ118" s="1161"/>
      <c r="CA118" s="1161"/>
      <c r="CB118" s="1161"/>
      <c r="CC118" s="1161"/>
      <c r="CD118" s="1161"/>
      <c r="CE118" s="1161"/>
    </row>
    <row s="1851" customFormat="1" customHeight="1" ht="11.25" hidden="1">
      <c r="A119" s="1794"/>
      <c r="B119" s="1637"/>
      <c r="C119" s="1637"/>
      <c r="D119" s="2580"/>
      <c r="E119" s="636"/>
      <c r="F119" s="636">
        <v>0</v>
      </c>
      <c r="G119" s="636"/>
      <c r="H119" s="636"/>
      <c r="I119" s="636"/>
      <c r="J119" s="636"/>
      <c r="K119" s="636"/>
      <c r="L119" s="636"/>
      <c r="M119" s="636"/>
      <c r="N119" s="636"/>
      <c r="O119" s="636"/>
      <c r="P119" s="636"/>
      <c r="Q119" s="636"/>
      <c r="R119" s="636"/>
      <c r="S119" s="637"/>
      <c r="T119" s="719"/>
      <c r="U119" s="2375"/>
      <c r="V119" s="2375"/>
      <c r="W119" s="1637"/>
      <c r="X119" s="1637"/>
      <c r="Y119" s="1637"/>
      <c r="Z119" s="1637"/>
      <c r="AA119" s="1637"/>
      <c r="AB119" s="1161"/>
      <c r="AC119" s="2376"/>
      <c r="AD119" s="630"/>
      <c r="AE119" s="1161"/>
      <c r="AF119" s="1161"/>
      <c r="AG119" s="1637"/>
      <c r="AH119" s="1637"/>
      <c r="AI119" s="1637"/>
      <c r="AJ119" s="1637"/>
      <c r="AK119" s="1637"/>
      <c r="AL119" s="1637"/>
      <c r="AM119" s="1637"/>
      <c r="AN119" s="1637"/>
      <c r="AO119" s="1637"/>
      <c r="AP119" s="1637"/>
      <c r="AQ119" s="1637"/>
      <c r="AR119" s="1637"/>
      <c r="AS119" s="1637"/>
      <c r="AT119" s="1637"/>
      <c r="AU119" s="1637"/>
      <c r="AV119" s="1637"/>
      <c r="AW119" s="1637"/>
      <c r="AX119" s="1637"/>
      <c r="AY119" s="1637"/>
      <c r="AZ119" s="1637"/>
      <c r="BA119" s="1637"/>
      <c r="BB119" s="1637"/>
      <c r="BC119" s="1637"/>
      <c r="BD119" s="1637"/>
      <c r="BE119" s="1637"/>
      <c r="BF119" s="1637"/>
      <c r="BG119" s="1637"/>
      <c r="BH119" s="1637"/>
      <c r="BI119" s="1637"/>
      <c r="BJ119" s="1637"/>
      <c r="BK119" s="1637"/>
      <c r="BL119" s="1637"/>
      <c r="BM119" s="1637"/>
      <c r="BN119" s="1637"/>
      <c r="BO119" s="1637"/>
      <c r="BP119" s="1637"/>
      <c r="BQ119" s="1637"/>
      <c r="BR119" s="1637"/>
      <c r="BS119" s="1637"/>
      <c r="BT119" s="1637"/>
      <c r="BU119" s="1637"/>
      <c r="BV119" s="1637"/>
      <c r="BW119" s="1637"/>
      <c r="BX119" s="1637"/>
      <c r="BY119" s="1637"/>
      <c r="BZ119" s="1637"/>
      <c r="CA119" s="1637"/>
      <c r="CB119" s="1637"/>
      <c r="CC119" s="1637"/>
      <c r="CD119" s="1637"/>
      <c r="CE119" s="1637"/>
    </row>
    <row s="1851" customFormat="1" customHeight="1" ht="11.25">
      <c r="A120" s="1807"/>
      <c r="B120" s="1161"/>
      <c r="C120" s="413"/>
      <c r="D120" s="2580"/>
      <c r="E120" s="650" t="s">
        <v>28</v>
      </c>
      <c r="F120" s="1169" t="s">
        <v>28</v>
      </c>
      <c r="G120" s="1169" t="s">
        <v>1948</v>
      </c>
      <c r="H120" s="652" t="s">
        <v>28</v>
      </c>
      <c r="I120" s="652"/>
      <c r="J120" s="652"/>
      <c r="K120" s="652"/>
      <c r="L120" s="652"/>
      <c r="M120" s="652"/>
      <c r="N120" s="652"/>
      <c r="O120" s="652"/>
      <c r="P120" s="652"/>
      <c r="Q120" s="652"/>
      <c r="R120" s="653"/>
      <c r="S120" s="654"/>
      <c r="T120" s="719"/>
      <c r="U120" s="2375"/>
      <c r="V120" s="2375"/>
      <c r="W120" s="1161"/>
      <c r="X120" s="1161"/>
      <c r="Y120" s="1161"/>
      <c r="Z120" s="1161"/>
      <c r="AA120" s="1637"/>
      <c r="AB120" s="1161"/>
      <c r="AC120" s="2376"/>
      <c r="AD120" s="630"/>
      <c r="AE120" s="1161"/>
      <c r="AF120" s="1161"/>
      <c r="AG120" s="1637"/>
      <c r="AH120" s="1637"/>
      <c r="AI120" s="1637"/>
      <c r="AJ120" s="1637"/>
      <c r="AK120" s="1637"/>
      <c r="AL120" s="1637"/>
      <c r="AM120" s="1637"/>
      <c r="AN120" s="1637"/>
      <c r="AO120" s="1637"/>
      <c r="AP120" s="1637"/>
      <c r="AQ120" s="1637"/>
      <c r="AR120" s="1637"/>
      <c r="AS120" s="1637"/>
      <c r="AT120" s="1637"/>
      <c r="AU120" s="1637"/>
      <c r="AV120" s="1637"/>
      <c r="AW120" s="1637"/>
      <c r="AX120" s="1637"/>
      <c r="AY120" s="1637"/>
      <c r="AZ120" s="1637"/>
      <c r="BA120" s="1637"/>
      <c r="BB120" s="1637"/>
      <c r="BC120" s="1637"/>
      <c r="BD120" s="1637"/>
      <c r="BE120" s="1637"/>
      <c r="BF120" s="1637"/>
      <c r="BG120" s="1637"/>
      <c r="BH120" s="1637"/>
      <c r="BI120" s="1637"/>
      <c r="BJ120" s="1637"/>
      <c r="BK120" s="1637"/>
      <c r="BL120" s="1637"/>
      <c r="BM120" s="1637"/>
      <c r="BN120" s="1637"/>
      <c r="BO120" s="1637"/>
      <c r="BP120" s="1637"/>
      <c r="BQ120" s="1637"/>
      <c r="BR120" s="1637"/>
      <c r="BS120" s="1637"/>
      <c r="BT120" s="1637"/>
      <c r="BU120" s="1637"/>
      <c r="BV120" s="1161"/>
      <c r="BW120" s="1161"/>
      <c r="BX120" s="1161"/>
      <c r="BY120" s="1161"/>
      <c r="BZ120" s="1161"/>
      <c r="CA120" s="1161"/>
      <c r="CB120" s="1161"/>
      <c r="CC120" s="1161"/>
      <c r="CD120" s="1161"/>
      <c r="CE120" s="1161"/>
    </row>
    <row s="1851" customFormat="1" customHeight="1" ht="24.75">
      <c r="A121" s="1807"/>
      <c r="B121" s="1161"/>
      <c r="C121" s="413"/>
      <c r="D121" s="2580"/>
      <c r="E121" s="2377" t="s">
        <v>632</v>
      </c>
      <c r="F121" s="2377"/>
      <c r="G121" s="2377"/>
      <c r="H121" s="2377"/>
      <c r="I121" s="2377"/>
      <c r="J121" s="2377"/>
      <c r="K121" s="2377"/>
      <c r="L121" s="2377"/>
      <c r="M121" s="2377"/>
      <c r="N121" s="2377"/>
      <c r="O121" s="2377"/>
      <c r="P121" s="2377"/>
      <c r="Q121" s="559">
        <f>SUMIF(T122:T123,"i",Q122:Q123)</f>
        <v>0</v>
      </c>
      <c r="R121" s="1018"/>
      <c r="S121" s="1799" t="s">
        <v>633</v>
      </c>
      <c r="T121" s="718" t="s">
        <v>631</v>
      </c>
      <c r="U121" s="2375">
        <v>1</v>
      </c>
      <c r="V121" s="2375" t="s">
        <v>594</v>
      </c>
      <c r="W121" s="1161"/>
      <c r="X121" s="1161"/>
      <c r="Y121" s="1161"/>
      <c r="Z121" s="1161"/>
      <c r="AA121" s="1637"/>
      <c r="AB121" s="1161"/>
      <c r="AC121" s="1797"/>
      <c r="AD121" s="630"/>
      <c r="AE121" s="1161"/>
      <c r="AF121" s="1161"/>
      <c r="AG121" s="1637"/>
      <c r="AH121" s="1637"/>
      <c r="AI121" s="1637"/>
      <c r="AJ121" s="1637"/>
      <c r="AK121" s="1637"/>
      <c r="AL121" s="1637"/>
      <c r="AM121" s="1637"/>
      <c r="AN121" s="1637"/>
      <c r="AO121" s="1637"/>
      <c r="AP121" s="1637"/>
      <c r="AQ121" s="1637"/>
      <c r="AR121" s="1637"/>
      <c r="AS121" s="1637"/>
      <c r="AT121" s="1637"/>
      <c r="AU121" s="1637"/>
      <c r="AV121" s="1637"/>
      <c r="AW121" s="1637"/>
      <c r="AX121" s="1637"/>
      <c r="AY121" s="1637"/>
      <c r="AZ121" s="1637"/>
      <c r="BA121" s="1637"/>
      <c r="BB121" s="1637"/>
      <c r="BC121" s="1637"/>
      <c r="BD121" s="1637"/>
      <c r="BE121" s="1637"/>
      <c r="BF121" s="1637"/>
      <c r="BG121" s="1637"/>
      <c r="BH121" s="1637"/>
      <c r="BI121" s="1637"/>
      <c r="BJ121" s="1637"/>
      <c r="BK121" s="1637"/>
      <c r="BL121" s="1637"/>
      <c r="BM121" s="1637"/>
      <c r="BN121" s="1637"/>
      <c r="BO121" s="1637"/>
      <c r="BP121" s="1637"/>
      <c r="BQ121" s="1637"/>
      <c r="BR121" s="1637"/>
      <c r="BS121" s="1637"/>
      <c r="BT121" s="1637"/>
      <c r="BU121" s="1637"/>
      <c r="BV121" s="1161"/>
      <c r="BW121" s="1161"/>
      <c r="BX121" s="1161"/>
      <c r="BY121" s="1161"/>
      <c r="BZ121" s="1161"/>
      <c r="CA121" s="1161"/>
      <c r="CB121" s="1161"/>
      <c r="CC121" s="1161"/>
      <c r="CD121" s="1161"/>
      <c r="CE121" s="1161"/>
    </row>
    <row s="1851" customFormat="1" customHeight="1" ht="11.25" hidden="1">
      <c r="A122" s="1794"/>
      <c r="B122" s="1637"/>
      <c r="C122" s="1637"/>
      <c r="D122" s="2580"/>
      <c r="E122" s="636"/>
      <c r="F122" s="636">
        <v>0</v>
      </c>
      <c r="G122" s="636"/>
      <c r="H122" s="636"/>
      <c r="I122" s="636"/>
      <c r="J122" s="636"/>
      <c r="K122" s="636"/>
      <c r="L122" s="636"/>
      <c r="M122" s="636"/>
      <c r="N122" s="636"/>
      <c r="O122" s="636"/>
      <c r="P122" s="636"/>
      <c r="Q122" s="636"/>
      <c r="R122" s="636"/>
      <c r="S122" s="637"/>
      <c r="T122" s="719"/>
      <c r="U122" s="2375"/>
      <c r="V122" s="2375"/>
      <c r="W122" s="1637"/>
      <c r="X122" s="1637"/>
      <c r="Y122" s="1637"/>
      <c r="Z122" s="1637"/>
      <c r="AA122" s="1637"/>
      <c r="AB122" s="1161"/>
      <c r="AC122" s="1797"/>
      <c r="AD122" s="630"/>
      <c r="AE122" s="1161"/>
      <c r="AF122" s="1161"/>
      <c r="AG122" s="1637"/>
      <c r="AH122" s="1637"/>
      <c r="AI122" s="1637"/>
      <c r="AJ122" s="1637"/>
      <c r="AK122" s="1637"/>
      <c r="AL122" s="1637"/>
      <c r="AM122" s="1637"/>
      <c r="AN122" s="1637"/>
      <c r="AO122" s="1637"/>
      <c r="AP122" s="1637"/>
      <c r="AQ122" s="1637"/>
      <c r="AR122" s="1637"/>
      <c r="AS122" s="1637"/>
      <c r="AT122" s="1637"/>
      <c r="AU122" s="1637"/>
      <c r="AV122" s="1637"/>
      <c r="AW122" s="1637"/>
      <c r="AX122" s="1637"/>
      <c r="AY122" s="1637"/>
      <c r="AZ122" s="1637"/>
      <c r="BA122" s="1637"/>
      <c r="BB122" s="1637"/>
      <c r="BC122" s="1637"/>
      <c r="BD122" s="1637"/>
      <c r="BE122" s="1637"/>
      <c r="BF122" s="1637"/>
      <c r="BG122" s="1637"/>
      <c r="BH122" s="1637"/>
      <c r="BI122" s="1637"/>
      <c r="BJ122" s="1637"/>
      <c r="BK122" s="1637"/>
      <c r="BL122" s="1637"/>
      <c r="BM122" s="1637"/>
      <c r="BN122" s="1637"/>
      <c r="BO122" s="1637"/>
      <c r="BP122" s="1637"/>
      <c r="BQ122" s="1637"/>
      <c r="BR122" s="1637"/>
      <c r="BS122" s="1637"/>
      <c r="BT122" s="1637"/>
      <c r="BU122" s="1637"/>
      <c r="BV122" s="1637"/>
      <c r="BW122" s="1637"/>
      <c r="BX122" s="1637"/>
      <c r="BY122" s="1637"/>
      <c r="BZ122" s="1637"/>
      <c r="CA122" s="1637"/>
      <c r="CB122" s="1637"/>
      <c r="CC122" s="1637"/>
      <c r="CD122" s="1637"/>
      <c r="CE122" s="1637"/>
    </row>
    <row s="1851" customFormat="1" customHeight="1" ht="11.25">
      <c r="A123" s="1807"/>
      <c r="B123" s="1161"/>
      <c r="C123" s="413"/>
      <c r="D123" s="2581"/>
      <c r="E123" s="650" t="s">
        <v>28</v>
      </c>
      <c r="F123" s="1169" t="s">
        <v>28</v>
      </c>
      <c r="G123" s="1169" t="s">
        <v>1948</v>
      </c>
      <c r="H123" s="652" t="s">
        <v>28</v>
      </c>
      <c r="I123" s="652"/>
      <c r="J123" s="652"/>
      <c r="K123" s="652"/>
      <c r="L123" s="652"/>
      <c r="M123" s="652"/>
      <c r="N123" s="652"/>
      <c r="O123" s="652"/>
      <c r="P123" s="652"/>
      <c r="Q123" s="652"/>
      <c r="R123" s="653"/>
      <c r="S123" s="654"/>
      <c r="T123" s="719"/>
      <c r="U123" s="2375"/>
      <c r="V123" s="2375"/>
      <c r="W123" s="1161"/>
      <c r="X123" s="1161"/>
      <c r="Y123" s="1161"/>
      <c r="Z123" s="1161"/>
      <c r="AA123" s="1637"/>
      <c r="AB123" s="1161"/>
      <c r="AC123" s="1797"/>
      <c r="AD123" s="630"/>
      <c r="AE123" s="1161"/>
      <c r="AF123" s="1161"/>
      <c r="AG123" s="1637"/>
      <c r="AH123" s="1637"/>
      <c r="AI123" s="1637"/>
      <c r="AJ123" s="1637"/>
      <c r="AK123" s="1637"/>
      <c r="AL123" s="1637"/>
      <c r="AM123" s="1637"/>
      <c r="AN123" s="1637"/>
      <c r="AO123" s="1637"/>
      <c r="AP123" s="1637"/>
      <c r="AQ123" s="1637"/>
      <c r="AR123" s="1637"/>
      <c r="AS123" s="1637"/>
      <c r="AT123" s="1637"/>
      <c r="AU123" s="1637"/>
      <c r="AV123" s="1637"/>
      <c r="AW123" s="1637"/>
      <c r="AX123" s="1637"/>
      <c r="AY123" s="1637"/>
      <c r="AZ123" s="1637"/>
      <c r="BA123" s="1637"/>
      <c r="BB123" s="1637"/>
      <c r="BC123" s="1637"/>
      <c r="BD123" s="1637"/>
      <c r="BE123" s="1637"/>
      <c r="BF123" s="1637"/>
      <c r="BG123" s="1637"/>
      <c r="BH123" s="1637"/>
      <c r="BI123" s="1637"/>
      <c r="BJ123" s="1637"/>
      <c r="BK123" s="1637"/>
      <c r="BL123" s="1637"/>
      <c r="BM123" s="1637"/>
      <c r="BN123" s="1637"/>
      <c r="BO123" s="1637"/>
      <c r="BP123" s="1637"/>
      <c r="BQ123" s="1637"/>
      <c r="BR123" s="1637"/>
      <c r="BS123" s="1637"/>
      <c r="BT123" s="1637"/>
      <c r="BU123" s="1637"/>
      <c r="BV123" s="1161"/>
      <c r="BW123" s="1161"/>
      <c r="BX123" s="1161"/>
      <c r="BY123" s="1161"/>
      <c r="BZ123" s="1161"/>
      <c r="CA123" s="1161"/>
      <c r="CB123" s="1161"/>
      <c r="CC123" s="1161"/>
      <c r="CD123" s="1161"/>
      <c r="CE123" s="1161"/>
    </row>
    <row r="125" s="1816" customFormat="1" customHeight="1" ht="11.25">
      <c r="A125" s="1816" t="s">
        <v>1949</v>
      </c>
    </row>
    <row r="127" s="1851" customFormat="1" customHeight="1" ht="15">
      <c r="A127" s="624"/>
      <c r="B127" s="625"/>
      <c r="C127" s="625"/>
      <c r="D127" s="2579" t="s">
        <v>118</v>
      </c>
      <c r="E127" s="2378" t="s">
        <v>114</v>
      </c>
      <c r="F127" s="2379"/>
      <c r="G127" s="2380"/>
      <c r="H127" s="2384" t="str">
        <f>IF(A127="","",INDEX(DIFFERENTIATION_UNMERGE_VD,MATCH(A127,DIFFERENTIATION_ID_DIFF,0)))</f>
        <v/>
      </c>
      <c r="I127" s="2384"/>
      <c r="J127" s="2384"/>
      <c r="K127" s="2384"/>
      <c r="L127" s="2384"/>
      <c r="M127" s="2384"/>
      <c r="N127" s="2384"/>
      <c r="O127" s="2384"/>
      <c r="P127" s="2384"/>
      <c r="Q127" s="2384"/>
      <c r="R127" s="2384"/>
      <c r="S127" s="720"/>
      <c r="T127" s="717"/>
      <c r="U127" s="626"/>
      <c r="V127" s="626"/>
      <c r="W127" s="627"/>
      <c r="X127" s="627"/>
      <c r="Y127" s="627"/>
      <c r="Z127" s="627"/>
      <c r="AA127" s="628"/>
      <c r="AB127" s="629"/>
      <c r="AC127" s="2376"/>
      <c r="AD127" s="630"/>
      <c r="AE127" s="631" t="s">
        <v>28</v>
      </c>
      <c r="AF127" s="631"/>
      <c r="AG127" s="632" t="s">
        <v>628</v>
      </c>
      <c r="AH127" s="633">
        <v>3</v>
      </c>
      <c r="AI127" s="626"/>
      <c r="AJ127" s="626"/>
      <c r="AK127" s="626"/>
      <c r="AL127" s="626"/>
      <c r="AM127" s="626"/>
      <c r="AN127" s="626"/>
      <c r="AO127" s="626"/>
      <c r="AP127" s="626"/>
      <c r="AQ127" s="626"/>
      <c r="AR127" s="626"/>
      <c r="AS127" s="626"/>
      <c r="AT127" s="626"/>
      <c r="AU127" s="626"/>
      <c r="AV127" s="626"/>
      <c r="AW127" s="626"/>
      <c r="AX127" s="626"/>
      <c r="AY127" s="626"/>
      <c r="AZ127" s="626"/>
      <c r="BA127" s="626"/>
      <c r="BB127" s="626"/>
      <c r="BC127" s="626"/>
      <c r="BD127" s="626"/>
      <c r="BE127" s="626"/>
      <c r="BF127" s="626"/>
      <c r="BG127" s="626"/>
      <c r="BH127" s="626"/>
      <c r="BI127" s="626"/>
      <c r="BJ127" s="626"/>
      <c r="BK127" s="626"/>
      <c r="BL127" s="626"/>
      <c r="BM127" s="626"/>
      <c r="BN127" s="626"/>
      <c r="BO127" s="626"/>
      <c r="BP127" s="626"/>
      <c r="BQ127" s="626"/>
      <c r="BR127" s="626"/>
      <c r="BS127" s="626"/>
      <c r="BT127" s="626"/>
      <c r="BU127" s="626"/>
      <c r="BV127" s="627"/>
      <c r="BW127" s="627"/>
      <c r="BX127" s="627"/>
      <c r="BY127" s="627"/>
      <c r="BZ127" s="627"/>
      <c r="CA127" s="627"/>
      <c r="CB127" s="627"/>
      <c r="CC127" s="627"/>
      <c r="CD127" s="627"/>
      <c r="CE127" s="627"/>
    </row>
    <row s="1851" customFormat="1" customHeight="1" ht="15">
      <c r="A128" s="624"/>
      <c r="B128" s="625"/>
      <c r="C128" s="625"/>
      <c r="D128" s="2580"/>
      <c r="E128" s="2378" t="s">
        <v>583</v>
      </c>
      <c r="F128" s="2379"/>
      <c r="G128" s="2380"/>
      <c r="H128" s="2384" t="str">
        <f>IF(A127="","",INDEX(DIFFERENTIATION_UNMERGE_AREA,MATCH(A127,DIFFERENTIATION_ID_DIFF,0)))</f>
        <v/>
      </c>
      <c r="I128" s="2384"/>
      <c r="J128" s="2384"/>
      <c r="K128" s="2384"/>
      <c r="L128" s="2384"/>
      <c r="M128" s="2384"/>
      <c r="N128" s="2384"/>
      <c r="O128" s="2384"/>
      <c r="P128" s="2384"/>
      <c r="Q128" s="2384"/>
      <c r="R128" s="2384"/>
      <c r="S128" s="720"/>
      <c r="T128" s="717"/>
      <c r="U128" s="626"/>
      <c r="V128" s="626"/>
      <c r="W128" s="627"/>
      <c r="X128" s="627"/>
      <c r="Y128" s="627"/>
      <c r="Z128" s="627"/>
      <c r="AA128" s="628"/>
      <c r="AB128" s="629"/>
      <c r="AC128" s="2376"/>
      <c r="AD128" s="630"/>
      <c r="AE128" s="631"/>
      <c r="AF128" s="631"/>
      <c r="AG128" s="632"/>
      <c r="AH128" s="633"/>
      <c r="AI128" s="626"/>
      <c r="AJ128" s="626"/>
      <c r="AK128" s="626"/>
      <c r="AL128" s="626"/>
      <c r="AM128" s="626"/>
      <c r="AN128" s="626"/>
      <c r="AO128" s="626"/>
      <c r="AP128" s="626"/>
      <c r="AQ128" s="626"/>
      <c r="AR128" s="626"/>
      <c r="AS128" s="626"/>
      <c r="AT128" s="626"/>
      <c r="AU128" s="626"/>
      <c r="AV128" s="626"/>
      <c r="AW128" s="626"/>
      <c r="AX128" s="626"/>
      <c r="AY128" s="626"/>
      <c r="AZ128" s="626"/>
      <c r="BA128" s="626"/>
      <c r="BB128" s="626"/>
      <c r="BC128" s="626"/>
      <c r="BD128" s="626"/>
      <c r="BE128" s="626"/>
      <c r="BF128" s="626"/>
      <c r="BG128" s="626"/>
      <c r="BH128" s="626"/>
      <c r="BI128" s="626"/>
      <c r="BJ128" s="626"/>
      <c r="BK128" s="626"/>
      <c r="BL128" s="626"/>
      <c r="BM128" s="626"/>
      <c r="BN128" s="626"/>
      <c r="BO128" s="626"/>
      <c r="BP128" s="626"/>
      <c r="BQ128" s="626"/>
      <c r="BR128" s="626"/>
      <c r="BS128" s="626"/>
      <c r="BT128" s="626"/>
      <c r="BU128" s="626"/>
      <c r="BV128" s="627"/>
      <c r="BW128" s="627"/>
      <c r="BX128" s="627"/>
      <c r="BY128" s="627"/>
      <c r="BZ128" s="627"/>
      <c r="CA128" s="627"/>
      <c r="CB128" s="627"/>
      <c r="CC128" s="627"/>
      <c r="CD128" s="627"/>
      <c r="CE128" s="627"/>
    </row>
    <row s="1851" customFormat="1" customHeight="1" ht="15">
      <c r="A129" s="624"/>
      <c r="B129" s="625"/>
      <c r="C129" s="625"/>
      <c r="D129" s="2580"/>
      <c r="E129" s="2378" t="s">
        <v>584</v>
      </c>
      <c r="F129" s="2379"/>
      <c r="G129" s="2380"/>
      <c r="H129" s="2384" t="str">
        <f>IF(A127="","",INDEX(DIFFERENTIATION_UNMERGE_SYSTEM,MATCH(A127,DIFFERENTIATION_ID_DIFF,0)))</f>
        <v/>
      </c>
      <c r="I129" s="2384"/>
      <c r="J129" s="2384"/>
      <c r="K129" s="2384"/>
      <c r="L129" s="2384"/>
      <c r="M129" s="2384"/>
      <c r="N129" s="2384"/>
      <c r="O129" s="2384"/>
      <c r="P129" s="2384"/>
      <c r="Q129" s="2384"/>
      <c r="R129" s="2384"/>
      <c r="S129" s="720"/>
      <c r="T129" s="717"/>
      <c r="U129" s="626"/>
      <c r="V129" s="626"/>
      <c r="W129" s="627"/>
      <c r="X129" s="627"/>
      <c r="Y129" s="627"/>
      <c r="Z129" s="627"/>
      <c r="AA129" s="628"/>
      <c r="AB129" s="629"/>
      <c r="AC129" s="2376"/>
      <c r="AD129" s="630"/>
      <c r="AE129" s="631"/>
      <c r="AF129" s="631"/>
      <c r="AG129" s="632"/>
      <c r="AH129" s="633"/>
      <c r="AI129" s="626"/>
      <c r="AJ129" s="626"/>
      <c r="AK129" s="626"/>
      <c r="AL129" s="626"/>
      <c r="AM129" s="626"/>
      <c r="AN129" s="626"/>
      <c r="AO129" s="626"/>
      <c r="AP129" s="626"/>
      <c r="AQ129" s="626"/>
      <c r="AR129" s="626"/>
      <c r="AS129" s="626"/>
      <c r="AT129" s="626"/>
      <c r="AU129" s="626"/>
      <c r="AV129" s="626"/>
      <c r="AW129" s="626"/>
      <c r="AX129" s="626"/>
      <c r="AY129" s="626"/>
      <c r="AZ129" s="626"/>
      <c r="BA129" s="626"/>
      <c r="BB129" s="626"/>
      <c r="BC129" s="626"/>
      <c r="BD129" s="626"/>
      <c r="BE129" s="626"/>
      <c r="BF129" s="626"/>
      <c r="BG129" s="626"/>
      <c r="BH129" s="626"/>
      <c r="BI129" s="626"/>
      <c r="BJ129" s="626"/>
      <c r="BK129" s="626"/>
      <c r="BL129" s="626"/>
      <c r="BM129" s="626"/>
      <c r="BN129" s="626"/>
      <c r="BO129" s="626"/>
      <c r="BP129" s="626"/>
      <c r="BQ129" s="626"/>
      <c r="BR129" s="626"/>
      <c r="BS129" s="626"/>
      <c r="BT129" s="626"/>
      <c r="BU129" s="626"/>
      <c r="BV129" s="627"/>
      <c r="BW129" s="627"/>
      <c r="BX129" s="627"/>
      <c r="BY129" s="627"/>
      <c r="BZ129" s="627"/>
      <c r="CA129" s="627"/>
      <c r="CB129" s="627"/>
      <c r="CC129" s="627"/>
      <c r="CD129" s="627"/>
      <c r="CE129" s="627"/>
    </row>
    <row s="1851" customFormat="1" customHeight="1" ht="24.75">
      <c r="A130" s="1807"/>
      <c r="B130" s="1161"/>
      <c r="C130" s="413"/>
      <c r="D130" s="2580"/>
      <c r="E130" s="2377" t="s">
        <v>629</v>
      </c>
      <c r="F130" s="2377"/>
      <c r="G130" s="2377"/>
      <c r="H130" s="2377"/>
      <c r="I130" s="2377"/>
      <c r="J130" s="2377"/>
      <c r="K130" s="2377"/>
      <c r="L130" s="2377"/>
      <c r="M130" s="2377"/>
      <c r="N130" s="2377"/>
      <c r="O130" s="2377"/>
      <c r="P130" s="2377"/>
      <c r="Q130" s="559">
        <f>SUMIF(T131:T132,"i",Q131:Q132)</f>
        <v>0</v>
      </c>
      <c r="R130" s="1018"/>
      <c r="S130" s="1799" t="s">
        <v>630</v>
      </c>
      <c r="T130" s="718" t="s">
        <v>631</v>
      </c>
      <c r="U130" s="2375">
        <v>1</v>
      </c>
      <c r="V130" s="2375" t="s">
        <v>594</v>
      </c>
      <c r="W130" s="1161"/>
      <c r="X130" s="1161"/>
      <c r="Y130" s="1161"/>
      <c r="Z130" s="1161"/>
      <c r="AA130" s="1637"/>
      <c r="AB130" s="1161"/>
      <c r="AC130" s="2376"/>
      <c r="AD130" s="630"/>
      <c r="AE130" s="1161"/>
      <c r="AF130" s="1161"/>
      <c r="AG130" s="1637"/>
      <c r="AH130" s="1637"/>
      <c r="AI130" s="1637"/>
      <c r="AJ130" s="1637"/>
      <c r="AK130" s="1637"/>
      <c r="AL130" s="1637"/>
      <c r="AM130" s="1637"/>
      <c r="AN130" s="1637"/>
      <c r="AO130" s="1637"/>
      <c r="AP130" s="1637"/>
      <c r="AQ130" s="1637"/>
      <c r="AR130" s="1637"/>
      <c r="AS130" s="1637"/>
      <c r="AT130" s="1637"/>
      <c r="AU130" s="1637"/>
      <c r="AV130" s="1637"/>
      <c r="AW130" s="1637"/>
      <c r="AX130" s="1637"/>
      <c r="AY130" s="1637"/>
      <c r="AZ130" s="1637"/>
      <c r="BA130" s="1637"/>
      <c r="BB130" s="1637"/>
      <c r="BC130" s="1637"/>
      <c r="BD130" s="1637"/>
      <c r="BE130" s="1637"/>
      <c r="BF130" s="1637"/>
      <c r="BG130" s="1637"/>
      <c r="BH130" s="1637"/>
      <c r="BI130" s="1637"/>
      <c r="BJ130" s="1637"/>
      <c r="BK130" s="1637"/>
      <c r="BL130" s="1637"/>
      <c r="BM130" s="1637"/>
      <c r="BN130" s="1637"/>
      <c r="BO130" s="1637"/>
      <c r="BP130" s="1637"/>
      <c r="BQ130" s="1637"/>
      <c r="BR130" s="1637"/>
      <c r="BS130" s="1637"/>
      <c r="BT130" s="1637"/>
      <c r="BU130" s="1637"/>
      <c r="BV130" s="1161"/>
      <c r="BW130" s="1161"/>
      <c r="BX130" s="1161"/>
      <c r="BY130" s="1161"/>
      <c r="BZ130" s="1161"/>
      <c r="CA130" s="1161"/>
      <c r="CB130" s="1161"/>
      <c r="CC130" s="1161"/>
      <c r="CD130" s="1161"/>
      <c r="CE130" s="1161"/>
    </row>
    <row s="1851" customFormat="1" customHeight="1" ht="11.25" hidden="1">
      <c r="A131" s="1794"/>
      <c r="B131" s="1637"/>
      <c r="C131" s="1637"/>
      <c r="D131" s="2580"/>
      <c r="E131" s="636"/>
      <c r="F131" s="636">
        <v>0</v>
      </c>
      <c r="G131" s="636"/>
      <c r="H131" s="636"/>
      <c r="I131" s="636"/>
      <c r="J131" s="636"/>
      <c r="K131" s="636"/>
      <c r="L131" s="636"/>
      <c r="M131" s="636"/>
      <c r="N131" s="636"/>
      <c r="O131" s="636"/>
      <c r="P131" s="636"/>
      <c r="Q131" s="636"/>
      <c r="R131" s="636"/>
      <c r="S131" s="637"/>
      <c r="T131" s="719"/>
      <c r="U131" s="2375"/>
      <c r="V131" s="2375"/>
      <c r="W131" s="1637"/>
      <c r="X131" s="1637"/>
      <c r="Y131" s="1637"/>
      <c r="Z131" s="1637"/>
      <c r="AA131" s="1637"/>
      <c r="AB131" s="1161"/>
      <c r="AC131" s="2376"/>
      <c r="AD131" s="630"/>
      <c r="AE131" s="1161"/>
      <c r="AF131" s="1161"/>
      <c r="AG131" s="1637"/>
      <c r="AH131" s="1637"/>
      <c r="AI131" s="1637"/>
      <c r="AJ131" s="1637"/>
      <c r="AK131" s="1637"/>
      <c r="AL131" s="1637"/>
      <c r="AM131" s="1637"/>
      <c r="AN131" s="1637"/>
      <c r="AO131" s="1637"/>
      <c r="AP131" s="1637"/>
      <c r="AQ131" s="1637"/>
      <c r="AR131" s="1637"/>
      <c r="AS131" s="1637"/>
      <c r="AT131" s="1637"/>
      <c r="AU131" s="1637"/>
      <c r="AV131" s="1637"/>
      <c r="AW131" s="1637"/>
      <c r="AX131" s="1637"/>
      <c r="AY131" s="1637"/>
      <c r="AZ131" s="1637"/>
      <c r="BA131" s="1637"/>
      <c r="BB131" s="1637"/>
      <c r="BC131" s="1637"/>
      <c r="BD131" s="1637"/>
      <c r="BE131" s="1637"/>
      <c r="BF131" s="1637"/>
      <c r="BG131" s="1637"/>
      <c r="BH131" s="1637"/>
      <c r="BI131" s="1637"/>
      <c r="BJ131" s="1637"/>
      <c r="BK131" s="1637"/>
      <c r="BL131" s="1637"/>
      <c r="BM131" s="1637"/>
      <c r="BN131" s="1637"/>
      <c r="BO131" s="1637"/>
      <c r="BP131" s="1637"/>
      <c r="BQ131" s="1637"/>
      <c r="BR131" s="1637"/>
      <c r="BS131" s="1637"/>
      <c r="BT131" s="1637"/>
      <c r="BU131" s="1637"/>
      <c r="BV131" s="1637"/>
      <c r="BW131" s="1637"/>
      <c r="BX131" s="1637"/>
      <c r="BY131" s="1637"/>
      <c r="BZ131" s="1637"/>
      <c r="CA131" s="1637"/>
      <c r="CB131" s="1637"/>
      <c r="CC131" s="1637"/>
      <c r="CD131" s="1637"/>
      <c r="CE131" s="1637"/>
    </row>
    <row s="1851" customFormat="1" customHeight="1" ht="11.25">
      <c r="A132" s="1807"/>
      <c r="B132" s="1161"/>
      <c r="C132" s="413"/>
      <c r="D132" s="2580"/>
      <c r="E132" s="650" t="s">
        <v>28</v>
      </c>
      <c r="F132" s="1169" t="s">
        <v>28</v>
      </c>
      <c r="G132" s="1169" t="s">
        <v>1948</v>
      </c>
      <c r="H132" s="652" t="s">
        <v>28</v>
      </c>
      <c r="I132" s="652"/>
      <c r="J132" s="652"/>
      <c r="K132" s="652"/>
      <c r="L132" s="652"/>
      <c r="M132" s="652"/>
      <c r="N132" s="652"/>
      <c r="O132" s="652"/>
      <c r="P132" s="652"/>
      <c r="Q132" s="652"/>
      <c r="R132" s="653"/>
      <c r="S132" s="654"/>
      <c r="T132" s="719"/>
      <c r="U132" s="2375"/>
      <c r="V132" s="2375"/>
      <c r="W132" s="1161"/>
      <c r="X132" s="1161"/>
      <c r="Y132" s="1161"/>
      <c r="Z132" s="1161"/>
      <c r="AA132" s="1637"/>
      <c r="AB132" s="1161"/>
      <c r="AC132" s="2376"/>
      <c r="AD132" s="630"/>
      <c r="AE132" s="1161"/>
      <c r="AF132" s="1161"/>
      <c r="AG132" s="1637"/>
      <c r="AH132" s="1637"/>
      <c r="AI132" s="1637"/>
      <c r="AJ132" s="1637"/>
      <c r="AK132" s="1637"/>
      <c r="AL132" s="1637"/>
      <c r="AM132" s="1637"/>
      <c r="AN132" s="1637"/>
      <c r="AO132" s="1637"/>
      <c r="AP132" s="1637"/>
      <c r="AQ132" s="1637"/>
      <c r="AR132" s="1637"/>
      <c r="AS132" s="1637"/>
      <c r="AT132" s="1637"/>
      <c r="AU132" s="1637"/>
      <c r="AV132" s="1637"/>
      <c r="AW132" s="1637"/>
      <c r="AX132" s="1637"/>
      <c r="AY132" s="1637"/>
      <c r="AZ132" s="1637"/>
      <c r="BA132" s="1637"/>
      <c r="BB132" s="1637"/>
      <c r="BC132" s="1637"/>
      <c r="BD132" s="1637"/>
      <c r="BE132" s="1637"/>
      <c r="BF132" s="1637"/>
      <c r="BG132" s="1637"/>
      <c r="BH132" s="1637"/>
      <c r="BI132" s="1637"/>
      <c r="BJ132" s="1637"/>
      <c r="BK132" s="1637"/>
      <c r="BL132" s="1637"/>
      <c r="BM132" s="1637"/>
      <c r="BN132" s="1637"/>
      <c r="BO132" s="1637"/>
      <c r="BP132" s="1637"/>
      <c r="BQ132" s="1637"/>
      <c r="BR132" s="1637"/>
      <c r="BS132" s="1637"/>
      <c r="BT132" s="1637"/>
      <c r="BU132" s="1637"/>
      <c r="BV132" s="1161"/>
      <c r="BW132" s="1161"/>
      <c r="BX132" s="1161"/>
      <c r="BY132" s="1161"/>
      <c r="BZ132" s="1161"/>
      <c r="CA132" s="1161"/>
      <c r="CB132" s="1161"/>
      <c r="CC132" s="1161"/>
      <c r="CD132" s="1161"/>
      <c r="CE132" s="1161"/>
    </row>
    <row s="1317" customFormat="1" customHeight="1" ht="5.25" hidden="1">
      <c r="A133" s="1794"/>
      <c r="B133" s="1637"/>
      <c r="C133" s="1637"/>
      <c r="D133" s="2580"/>
      <c r="E133" s="1040"/>
      <c r="F133" s="1040"/>
      <c r="G133" s="1040"/>
      <c r="H133" s="1040"/>
      <c r="I133" s="1040"/>
      <c r="J133" s="1040"/>
      <c r="K133" s="1040"/>
      <c r="L133" s="1040"/>
      <c r="M133" s="1040"/>
      <c r="N133" s="1040"/>
      <c r="O133" s="1040"/>
      <c r="P133" s="1040"/>
      <c r="Q133" s="1041"/>
      <c r="R133" s="1042"/>
      <c r="S133" s="1043"/>
      <c r="T133" s="718" t="s">
        <v>631</v>
      </c>
      <c r="U133" s="2375">
        <v>1</v>
      </c>
      <c r="V133" s="2375" t="s">
        <v>594</v>
      </c>
      <c r="W133" s="1637"/>
      <c r="X133" s="1637"/>
      <c r="Y133" s="1637"/>
      <c r="Z133" s="1637"/>
      <c r="AA133" s="1637"/>
      <c r="AB133" s="1637"/>
      <c r="AC133" s="1038"/>
      <c r="AD133" s="1039"/>
      <c r="AE133" s="1637"/>
      <c r="AF133" s="1637"/>
      <c r="AG133" s="1637"/>
      <c r="AH133" s="1637"/>
      <c r="AI133" s="1637"/>
      <c r="AJ133" s="1637"/>
      <c r="AK133" s="1637"/>
      <c r="AL133" s="1637"/>
      <c r="AM133" s="1637"/>
      <c r="AN133" s="1637"/>
      <c r="AO133" s="1637"/>
      <c r="AP133" s="1637"/>
      <c r="AQ133" s="1637"/>
      <c r="AR133" s="1637"/>
      <c r="AS133" s="1637"/>
      <c r="AT133" s="1637"/>
      <c r="AU133" s="1637"/>
      <c r="AV133" s="1637"/>
      <c r="AW133" s="1637"/>
      <c r="AX133" s="1637"/>
      <c r="AY133" s="1637"/>
      <c r="AZ133" s="1637"/>
      <c r="BA133" s="1637"/>
      <c r="BB133" s="1637"/>
      <c r="BC133" s="1637"/>
      <c r="BD133" s="1637"/>
      <c r="BE133" s="1637"/>
      <c r="BF133" s="1637"/>
      <c r="BG133" s="1637"/>
      <c r="BH133" s="1637"/>
      <c r="BI133" s="1637"/>
      <c r="BJ133" s="1637"/>
      <c r="BK133" s="1637"/>
      <c r="BL133" s="1637"/>
      <c r="BM133" s="1637"/>
      <c r="BN133" s="1637"/>
      <c r="BO133" s="1637"/>
      <c r="BP133" s="1637"/>
      <c r="BQ133" s="1637"/>
      <c r="BR133" s="1637"/>
      <c r="BS133" s="1637"/>
      <c r="BT133" s="1637"/>
      <c r="BU133" s="1637"/>
      <c r="BV133" s="1637"/>
      <c r="BW133" s="1637"/>
      <c r="BX133" s="1637"/>
      <c r="BY133" s="1637"/>
      <c r="BZ133" s="1637"/>
      <c r="CA133" s="1637"/>
      <c r="CB133" s="1637"/>
      <c r="CC133" s="1637"/>
      <c r="CD133" s="1637"/>
      <c r="CE133" s="1637"/>
    </row>
    <row s="1317" customFormat="1" customHeight="1" ht="5.25" hidden="1">
      <c r="A134" s="1794"/>
      <c r="B134" s="1637"/>
      <c r="C134" s="1637"/>
      <c r="D134" s="2580"/>
      <c r="E134" s="636"/>
      <c r="F134" s="636"/>
      <c r="G134" s="636"/>
      <c r="H134" s="636"/>
      <c r="I134" s="636"/>
      <c r="J134" s="636"/>
      <c r="K134" s="636"/>
      <c r="L134" s="636"/>
      <c r="M134" s="636"/>
      <c r="N134" s="636"/>
      <c r="O134" s="636"/>
      <c r="P134" s="636"/>
      <c r="Q134" s="636"/>
      <c r="R134" s="636"/>
      <c r="S134" s="637"/>
      <c r="T134" s="719"/>
      <c r="U134" s="2375"/>
      <c r="V134" s="2375"/>
      <c r="W134" s="1637"/>
      <c r="X134" s="1637"/>
      <c r="Y134" s="1637"/>
      <c r="Z134" s="1637"/>
      <c r="AA134" s="1637"/>
      <c r="AB134" s="1637"/>
      <c r="AC134" s="1038"/>
      <c r="AD134" s="1039"/>
      <c r="AE134" s="1637"/>
      <c r="AF134" s="1637"/>
      <c r="AG134" s="1637"/>
      <c r="AH134" s="1637"/>
      <c r="AI134" s="1637"/>
      <c r="AJ134" s="1637"/>
      <c r="AK134" s="1637"/>
      <c r="AL134" s="1637"/>
      <c r="AM134" s="1637"/>
      <c r="AN134" s="1637"/>
      <c r="AO134" s="1637"/>
      <c r="AP134" s="1637"/>
      <c r="AQ134" s="1637"/>
      <c r="AR134" s="1637"/>
      <c r="AS134" s="1637"/>
      <c r="AT134" s="1637"/>
      <c r="AU134" s="1637"/>
      <c r="AV134" s="1637"/>
      <c r="AW134" s="1637"/>
      <c r="AX134" s="1637"/>
      <c r="AY134" s="1637"/>
      <c r="AZ134" s="1637"/>
      <c r="BA134" s="1637"/>
      <c r="BB134" s="1637"/>
      <c r="BC134" s="1637"/>
      <c r="BD134" s="1637"/>
      <c r="BE134" s="1637"/>
      <c r="BF134" s="1637"/>
      <c r="BG134" s="1637"/>
      <c r="BH134" s="1637"/>
      <c r="BI134" s="1637"/>
      <c r="BJ134" s="1637"/>
      <c r="BK134" s="1637"/>
      <c r="BL134" s="1637"/>
      <c r="BM134" s="1637"/>
      <c r="BN134" s="1637"/>
      <c r="BO134" s="1637"/>
      <c r="BP134" s="1637"/>
      <c r="BQ134" s="1637"/>
      <c r="BR134" s="1637"/>
      <c r="BS134" s="1637"/>
      <c r="BT134" s="1637"/>
      <c r="BU134" s="1637"/>
      <c r="BV134" s="1637"/>
      <c r="BW134" s="1637"/>
      <c r="BX134" s="1637"/>
      <c r="BY134" s="1637"/>
      <c r="BZ134" s="1637"/>
      <c r="CA134" s="1637"/>
      <c r="CB134" s="1637"/>
      <c r="CC134" s="1637"/>
      <c r="CD134" s="1637"/>
      <c r="CE134" s="1637"/>
    </row>
    <row s="1317" customFormat="1" customHeight="1" ht="5.25" hidden="1">
      <c r="A135" s="1794"/>
      <c r="B135" s="1637"/>
      <c r="C135" s="1637"/>
      <c r="D135" s="2581"/>
      <c r="E135" s="1044"/>
      <c r="F135" s="1045"/>
      <c r="G135" s="1045"/>
      <c r="H135" s="1046"/>
      <c r="I135" s="1046"/>
      <c r="J135" s="1046"/>
      <c r="K135" s="1046"/>
      <c r="L135" s="1046"/>
      <c r="M135" s="1046"/>
      <c r="N135" s="1046"/>
      <c r="O135" s="1046"/>
      <c r="P135" s="1046"/>
      <c r="Q135" s="1046"/>
      <c r="R135" s="947"/>
      <c r="S135" s="1047"/>
      <c r="T135" s="719"/>
      <c r="U135" s="2375"/>
      <c r="V135" s="2375"/>
      <c r="W135" s="1637"/>
      <c r="X135" s="1637"/>
      <c r="Y135" s="1637"/>
      <c r="Z135" s="1637"/>
      <c r="AA135" s="1637"/>
      <c r="AB135" s="1637"/>
      <c r="AC135" s="1038"/>
      <c r="AD135" s="1039"/>
      <c r="AE135" s="1637"/>
      <c r="AF135" s="1637"/>
      <c r="AG135" s="1637"/>
      <c r="AH135" s="1637"/>
      <c r="AI135" s="1637"/>
      <c r="AJ135" s="1637"/>
      <c r="AK135" s="1637"/>
      <c r="AL135" s="1637"/>
      <c r="AM135" s="1637"/>
      <c r="AN135" s="1637"/>
      <c r="AO135" s="1637"/>
      <c r="AP135" s="1637"/>
      <c r="AQ135" s="1637"/>
      <c r="AR135" s="1637"/>
      <c r="AS135" s="1637"/>
      <c r="AT135" s="1637"/>
      <c r="AU135" s="1637"/>
      <c r="AV135" s="1637"/>
      <c r="AW135" s="1637"/>
      <c r="AX135" s="1637"/>
      <c r="AY135" s="1637"/>
      <c r="AZ135" s="1637"/>
      <c r="BA135" s="1637"/>
      <c r="BB135" s="1637"/>
      <c r="BC135" s="1637"/>
      <c r="BD135" s="1637"/>
      <c r="BE135" s="1637"/>
      <c r="BF135" s="1637"/>
      <c r="BG135" s="1637"/>
      <c r="BH135" s="1637"/>
      <c r="BI135" s="1637"/>
      <c r="BJ135" s="1637"/>
      <c r="BK135" s="1637"/>
      <c r="BL135" s="1637"/>
      <c r="BM135" s="1637"/>
      <c r="BN135" s="1637"/>
      <c r="BO135" s="1637"/>
      <c r="BP135" s="1637"/>
      <c r="BQ135" s="1637"/>
      <c r="BR135" s="1637"/>
      <c r="BS135" s="1637"/>
      <c r="BT135" s="1637"/>
      <c r="BU135" s="1637"/>
      <c r="BV135" s="1637"/>
      <c r="BW135" s="1637"/>
      <c r="BX135" s="1637"/>
      <c r="BY135" s="1637"/>
      <c r="BZ135" s="1637"/>
      <c r="CA135" s="1637"/>
      <c r="CB135" s="1637"/>
      <c r="CC135" s="1637"/>
      <c r="CD135" s="1637"/>
      <c r="CE135" s="1637"/>
    </row>
    <row customHeight="1" ht="17.25">
      <c r="D136" s="1837"/>
    </row>
    <row s="1816" customFormat="1" customHeight="1" ht="11.25">
      <c r="A137" s="1816" t="s">
        <v>1950</v>
      </c>
    </row>
    <row r="139" s="1851" customFormat="1" customHeight="1" ht="45">
      <c r="A139" s="1807"/>
      <c r="B139" s="1161"/>
      <c r="C139" s="413"/>
      <c r="D139" s="90"/>
      <c r="E139" s="2573"/>
      <c r="F139" s="2109" t="s">
        <v>118</v>
      </c>
      <c r="G139" s="2576" t="s">
        <v>28</v>
      </c>
      <c r="H139" s="290"/>
      <c r="I139" s="638" t="s">
        <v>118</v>
      </c>
      <c r="J139" s="1808" t="s">
        <v>1951</v>
      </c>
      <c r="K139" s="639" t="s">
        <v>565</v>
      </c>
      <c r="L139" s="2225" t="s">
        <v>565</v>
      </c>
      <c r="M139" s="2578"/>
      <c r="N139" s="639" t="s">
        <v>565</v>
      </c>
      <c r="O139" s="639" t="s">
        <v>565</v>
      </c>
      <c r="P139" s="639" t="s">
        <v>565</v>
      </c>
      <c r="Q139" s="640">
        <f>SUM(Q140:Q142)</f>
        <v>0</v>
      </c>
      <c r="R139" s="640">
        <f>IF(R136=0,0,(Q136/R136)*100)</f>
        <v>0</v>
      </c>
      <c r="S139" s="2180"/>
      <c r="T139" s="718" t="s">
        <v>631</v>
      </c>
      <c r="U139" s="90"/>
      <c r="V139" s="90"/>
      <c r="AC139" s="90"/>
    </row>
    <row s="1851" customFormat="1" customHeight="1" ht="11.25">
      <c r="A140" s="1807"/>
      <c r="B140" s="1161"/>
      <c r="C140" s="413"/>
      <c r="D140" s="90"/>
      <c r="E140" s="2574"/>
      <c r="F140" s="2109"/>
      <c r="G140" s="2576"/>
      <c r="H140" s="2128"/>
      <c r="I140" s="2516" t="s">
        <v>1040</v>
      </c>
      <c r="J140" s="2570"/>
      <c r="K140" s="2571"/>
      <c r="L140" s="641"/>
      <c r="M140" s="642" t="s">
        <v>118</v>
      </c>
      <c r="N140" s="1796"/>
      <c r="O140" s="643"/>
      <c r="P140" s="644"/>
      <c r="Q140" s="643"/>
      <c r="R140" s="645">
        <v>0</v>
      </c>
      <c r="S140" s="2180"/>
      <c r="T140" s="718"/>
      <c r="U140" s="90"/>
      <c r="V140" s="90"/>
      <c r="AC140" s="90"/>
    </row>
    <row s="1851" customFormat="1" customHeight="1" ht="11.25">
      <c r="A141" s="1807"/>
      <c r="B141" s="1161"/>
      <c r="C141" s="413"/>
      <c r="D141" s="90"/>
      <c r="E141" s="2574"/>
      <c r="F141" s="2109"/>
      <c r="G141" s="2576"/>
      <c r="H141" s="2128"/>
      <c r="I141" s="2516"/>
      <c r="J141" s="2570"/>
      <c r="K141" s="2572"/>
      <c r="L141" s="646"/>
      <c r="M141" s="647"/>
      <c r="N141" s="648" t="s">
        <v>1952</v>
      </c>
      <c r="O141" s="648"/>
      <c r="P141" s="648"/>
      <c r="Q141" s="648"/>
      <c r="R141" s="649"/>
      <c r="S141" s="2180"/>
      <c r="T141" s="718"/>
      <c r="U141" s="90"/>
      <c r="V141" s="90"/>
      <c r="AC141" s="90"/>
    </row>
    <row s="1851" customFormat="1" customHeight="1" ht="11.25">
      <c r="A142" s="1807"/>
      <c r="B142" s="1161"/>
      <c r="C142" s="413"/>
      <c r="D142" s="90"/>
      <c r="E142" s="2575"/>
      <c r="F142" s="2109"/>
      <c r="G142" s="2577"/>
      <c r="H142" s="646" t="s">
        <v>28</v>
      </c>
      <c r="I142" s="647"/>
      <c r="J142" s="648" t="s">
        <v>1953</v>
      </c>
      <c r="K142" s="648"/>
      <c r="L142" s="648"/>
      <c r="M142" s="648"/>
      <c r="N142" s="648"/>
      <c r="O142" s="648"/>
      <c r="P142" s="648"/>
      <c r="Q142" s="648"/>
      <c r="R142" s="649"/>
      <c r="S142" s="2180"/>
      <c r="T142" s="718"/>
      <c r="U142" s="90"/>
      <c r="V142" s="90"/>
      <c r="AC142" s="90"/>
    </row>
    <row r="147" s="1851" customFormat="1" customHeight="1" ht="11.25">
      <c r="A147" s="1807"/>
      <c r="B147" s="1161"/>
      <c r="C147" s="413"/>
      <c r="D147" s="90"/>
      <c r="E147" s="1831"/>
      <c r="F147" s="1831"/>
      <c r="G147" s="1831"/>
      <c r="H147" s="2128"/>
      <c r="I147" s="2516" t="s">
        <v>1040</v>
      </c>
      <c r="J147" s="2570"/>
      <c r="K147" s="2571"/>
      <c r="L147" s="641"/>
      <c r="M147" s="642" t="s">
        <v>118</v>
      </c>
      <c r="N147" s="1796"/>
      <c r="O147" s="643"/>
      <c r="P147" s="644"/>
      <c r="Q147" s="643"/>
      <c r="R147" s="645">
        <v>0</v>
      </c>
      <c r="S147" s="90"/>
      <c r="T147" s="718"/>
      <c r="U147" s="90"/>
      <c r="V147" s="90"/>
      <c r="AC147" s="90"/>
    </row>
    <row s="1851" customFormat="1" customHeight="1" ht="11.25">
      <c r="A148" s="1807"/>
      <c r="B148" s="1161"/>
      <c r="C148" s="413"/>
      <c r="D148" s="90"/>
      <c r="E148" s="1831"/>
      <c r="F148" s="1831"/>
      <c r="G148" s="1831"/>
      <c r="H148" s="2128"/>
      <c r="I148" s="2516"/>
      <c r="J148" s="2570"/>
      <c r="K148" s="2572"/>
      <c r="L148" s="646"/>
      <c r="M148" s="647"/>
      <c r="N148" s="648" t="s">
        <v>1952</v>
      </c>
      <c r="O148" s="648"/>
      <c r="P148" s="648"/>
      <c r="Q148" s="648"/>
      <c r="R148" s="649"/>
      <c r="S148" s="90"/>
      <c r="T148" s="718"/>
      <c r="U148" s="90"/>
      <c r="V148" s="90"/>
      <c r="AC148" s="90"/>
    </row>
    <row r="150" s="1851" customFormat="1" customHeight="1" ht="11.25">
      <c r="A150" s="1807"/>
      <c r="B150" s="1161"/>
      <c r="C150" s="413"/>
      <c r="D150" s="90"/>
      <c r="E150" s="1838"/>
      <c r="F150" s="1836"/>
      <c r="G150" s="1836"/>
      <c r="H150" s="1839"/>
      <c r="I150" s="1831"/>
      <c r="J150" s="1832"/>
      <c r="K150" s="1832"/>
      <c r="L150" s="641"/>
      <c r="M150" s="642" t="s">
        <v>118</v>
      </c>
      <c r="N150" s="1796"/>
      <c r="O150" s="643"/>
      <c r="P150" s="644"/>
      <c r="Q150" s="643"/>
      <c r="R150" s="645">
        <v>0</v>
      </c>
      <c r="S150" s="90"/>
      <c r="T150" s="718"/>
      <c r="U150" s="90"/>
      <c r="V150" s="90"/>
      <c r="AC150" s="90"/>
    </row>
    <row r="152" s="1816" customFormat="1" customHeight="1" ht="17.25">
      <c r="A152" s="1816" t="s">
        <v>1954</v>
      </c>
    </row>
    <row customHeight="1" ht="17.25">
      <c r="G153" s="1840"/>
      <c r="H153" s="1840"/>
      <c r="I153" s="1840"/>
      <c r="M153" s="1836"/>
    </row>
    <row s="1854" customFormat="1" customHeight="1" ht="17.25">
      <c r="A154" s="1841"/>
      <c r="C154" s="1843"/>
      <c r="D154" s="2530"/>
      <c r="E154" s="2144"/>
      <c r="F154" s="2146"/>
      <c r="G154" s="2532"/>
      <c r="H154" s="2530"/>
      <c r="I154" s="2530">
        <v>1</v>
      </c>
      <c r="J154" s="2502"/>
      <c r="K154" s="2186" t="s">
        <v>61</v>
      </c>
      <c r="L154" s="2109"/>
      <c r="M154" s="2109" t="s">
        <v>118</v>
      </c>
      <c r="N154" s="2505" t="str">
        <f>IF(Z154="","",INDEX(TERRITORY_MR_LIST,MATCH(Z154,TERRITORY_LIST_ID,0)))</f>
        <v/>
      </c>
      <c r="O154" s="2186" t="s">
        <v>61</v>
      </c>
      <c r="P154" s="2109"/>
      <c r="Q154" s="2109" t="s">
        <v>118</v>
      </c>
      <c r="R154" s="2503" t="s">
        <v>28</v>
      </c>
      <c r="S154" s="2108" t="s">
        <v>61</v>
      </c>
      <c r="T154" s="1812"/>
      <c r="U154" s="1812" t="s">
        <v>118</v>
      </c>
      <c r="V154" s="1844" t="s">
        <v>28</v>
      </c>
      <c r="W154" s="1802"/>
      <c r="Y154" s="1268"/>
      <c r="Z154" s="1268"/>
      <c r="AA154" s="1268"/>
      <c r="AB154" s="1268"/>
      <c r="AC154" s="1268"/>
      <c r="AD154" s="1268"/>
      <c r="AE154" s="1268"/>
      <c r="AF154" s="1268"/>
      <c r="AG154" s="1268"/>
      <c r="AH154" s="1268"/>
      <c r="AI154" s="1268"/>
      <c r="AJ154" s="1268"/>
      <c r="AK154" s="1268"/>
      <c r="AL154" s="1845"/>
      <c r="AM154" s="1845"/>
      <c r="AN154" s="1268"/>
      <c r="AO154" s="1268"/>
      <c r="AP154" s="1268"/>
      <c r="AQ154" s="1268"/>
    </row>
    <row s="1854" customFormat="1" customHeight="1" ht="17.25">
      <c r="A155" s="1841"/>
      <c r="C155" s="1846"/>
      <c r="D155" s="2530"/>
      <c r="E155" s="2144"/>
      <c r="F155" s="2147"/>
      <c r="G155" s="2532"/>
      <c r="H155" s="2530"/>
      <c r="I155" s="2530"/>
      <c r="J155" s="2502"/>
      <c r="K155" s="2187"/>
      <c r="L155" s="2109"/>
      <c r="M155" s="2109"/>
      <c r="N155" s="2505"/>
      <c r="O155" s="2187"/>
      <c r="P155" s="2109"/>
      <c r="Q155" s="2109"/>
      <c r="R155" s="2503"/>
      <c r="S155" s="2108"/>
      <c r="T155" s="318"/>
      <c r="U155" s="319"/>
      <c r="V155" s="319" t="s">
        <v>176</v>
      </c>
      <c r="W155" s="320"/>
      <c r="Y155" s="1260"/>
      <c r="Z155" s="1260"/>
      <c r="AA155" s="1260"/>
      <c r="AB155" s="1260"/>
      <c r="AC155" s="1260"/>
      <c r="AD155" s="1260"/>
      <c r="AE155" s="1260"/>
      <c r="AF155" s="1260"/>
      <c r="AG155" s="1260"/>
      <c r="AH155" s="1260"/>
      <c r="AI155" s="1260"/>
      <c r="AJ155" s="1260"/>
      <c r="AK155" s="1260"/>
    </row>
    <row s="1854" customFormat="1" customHeight="1" ht="17.25">
      <c r="A156" s="1841"/>
      <c r="C156" s="1846"/>
      <c r="D156" s="2504"/>
      <c r="E156" s="2531"/>
      <c r="F156" s="2147"/>
      <c r="G156" s="2533"/>
      <c r="H156" s="2504"/>
      <c r="I156" s="2504"/>
      <c r="J156" s="2534"/>
      <c r="K156" s="2187"/>
      <c r="L156" s="2504"/>
      <c r="M156" s="2504"/>
      <c r="N156" s="2506"/>
      <c r="O156" s="2113"/>
      <c r="P156" s="318"/>
      <c r="Q156" s="319"/>
      <c r="R156" s="319" t="s">
        <v>177</v>
      </c>
      <c r="S156" s="1847"/>
      <c r="T156" s="1847"/>
      <c r="U156" s="1847"/>
      <c r="V156" s="1847"/>
      <c r="W156" s="320"/>
      <c r="Y156" s="1260"/>
      <c r="Z156" s="1260"/>
      <c r="AA156" s="1260"/>
      <c r="AB156" s="1260"/>
      <c r="AC156" s="1260"/>
      <c r="AD156" s="1260"/>
      <c r="AE156" s="1260"/>
      <c r="AF156" s="1260"/>
      <c r="AG156" s="1260"/>
      <c r="AH156" s="1260"/>
      <c r="AI156" s="1260"/>
      <c r="AJ156" s="1260"/>
      <c r="AK156" s="1260"/>
    </row>
    <row s="1854" customFormat="1" customHeight="1" ht="17.25">
      <c r="A157" s="1841"/>
      <c r="C157" s="1846"/>
      <c r="D157" s="2504"/>
      <c r="E157" s="2531"/>
      <c r="F157" s="2147"/>
      <c r="G157" s="2533"/>
      <c r="H157" s="2504"/>
      <c r="I157" s="2504"/>
      <c r="J157" s="2534"/>
      <c r="K157" s="2113"/>
      <c r="L157" s="318"/>
      <c r="M157" s="319"/>
      <c r="N157" s="319" t="s">
        <v>178</v>
      </c>
      <c r="O157" s="319"/>
      <c r="P157" s="319"/>
      <c r="Q157" s="319"/>
      <c r="R157" s="319"/>
      <c r="S157" s="1847"/>
      <c r="T157" s="1847"/>
      <c r="U157" s="1847"/>
      <c r="V157" s="1847"/>
      <c r="W157" s="320"/>
      <c r="Y157" s="1260"/>
      <c r="Z157" s="1260"/>
      <c r="AA157" s="1260"/>
      <c r="AB157" s="1260"/>
      <c r="AC157" s="1260"/>
      <c r="AD157" s="1260"/>
      <c r="AE157" s="1260"/>
      <c r="AF157" s="1260"/>
      <c r="AG157" s="1260"/>
      <c r="AH157" s="1260"/>
      <c r="AI157" s="1260"/>
      <c r="AJ157" s="1260"/>
      <c r="AK157" s="1260"/>
    </row>
    <row s="1854" customFormat="1" customHeight="1" ht="17.25">
      <c r="A158" s="1841"/>
      <c r="C158" s="1846"/>
      <c r="D158" s="2504"/>
      <c r="E158" s="2531"/>
      <c r="F158" s="2148"/>
      <c r="G158" s="2533"/>
      <c r="H158" s="318"/>
      <c r="I158" s="319"/>
      <c r="J158" s="319" t="s">
        <v>184</v>
      </c>
      <c r="K158" s="319"/>
      <c r="L158" s="319"/>
      <c r="M158" s="319"/>
      <c r="N158" s="319"/>
      <c r="O158" s="319"/>
      <c r="P158" s="319"/>
      <c r="Q158" s="319"/>
      <c r="R158" s="319"/>
      <c r="S158" s="1847"/>
      <c r="T158" s="1847"/>
      <c r="U158" s="1847"/>
      <c r="V158" s="1847"/>
      <c r="W158" s="320"/>
      <c r="Y158" s="1260"/>
      <c r="Z158" s="1260"/>
      <c r="AA158" s="1260"/>
      <c r="AB158" s="1260"/>
      <c r="AC158" s="1260"/>
      <c r="AD158" s="1260"/>
      <c r="AE158" s="1260"/>
      <c r="AF158" s="1260"/>
      <c r="AG158" s="1260"/>
      <c r="AH158" s="1260"/>
      <c r="AI158" s="1260"/>
      <c r="AJ158" s="1260"/>
      <c r="AK158" s="1260"/>
    </row>
    <row customHeight="1" ht="17.25">
      <c r="G159" s="1840"/>
      <c r="H159" s="1840"/>
      <c r="I159" s="1840"/>
      <c r="M159" s="1836"/>
    </row>
    <row s="1854" customFormat="1" customHeight="1" ht="17.25">
      <c r="A160" s="1841"/>
      <c r="C160" s="1843"/>
      <c r="D160" s="1831"/>
      <c r="E160" s="1848"/>
      <c r="F160" s="1785"/>
      <c r="G160" s="1849"/>
      <c r="H160" s="2530"/>
      <c r="I160" s="2530">
        <v>1</v>
      </c>
      <c r="J160" s="2502"/>
      <c r="K160" s="2186" t="s">
        <v>61</v>
      </c>
      <c r="L160" s="2109"/>
      <c r="M160" s="2109" t="s">
        <v>118</v>
      </c>
      <c r="N160" s="2505" t="str">
        <f>IF(Z160="","",INDEX(TERRITORY_MR_LIST,MATCH(Z160,TERRITORY_LIST_ID,0)))</f>
        <v/>
      </c>
      <c r="O160" s="2186" t="s">
        <v>61</v>
      </c>
      <c r="P160" s="2109"/>
      <c r="Q160" s="2109" t="s">
        <v>118</v>
      </c>
      <c r="R160" s="2503" t="s">
        <v>28</v>
      </c>
      <c r="S160" s="2108" t="s">
        <v>61</v>
      </c>
      <c r="T160" s="1812"/>
      <c r="U160" s="1812" t="s">
        <v>118</v>
      </c>
      <c r="V160" s="1844" t="s">
        <v>28</v>
      </c>
      <c r="W160" s="1802"/>
      <c r="Y160" s="1268"/>
      <c r="Z160" s="1268"/>
      <c r="AA160" s="1268"/>
      <c r="AB160" s="1268"/>
      <c r="AC160" s="1268"/>
      <c r="AD160" s="1268"/>
      <c r="AE160" s="1268"/>
      <c r="AF160" s="1268"/>
      <c r="AG160" s="1268"/>
      <c r="AH160" s="1268"/>
      <c r="AI160" s="1268"/>
      <c r="AJ160" s="1268"/>
      <c r="AK160" s="1268"/>
      <c r="AL160" s="1845"/>
      <c r="AM160" s="1845"/>
      <c r="AN160" s="1268"/>
      <c r="AO160" s="1268"/>
      <c r="AP160" s="1268"/>
      <c r="AQ160" s="1268"/>
    </row>
    <row s="1854" customFormat="1" customHeight="1" ht="17.25">
      <c r="A161" s="1841"/>
      <c r="C161" s="1846"/>
      <c r="D161" s="1831"/>
      <c r="E161" s="1848"/>
      <c r="F161" s="1785"/>
      <c r="G161" s="1849"/>
      <c r="H161" s="2530"/>
      <c r="I161" s="2530"/>
      <c r="J161" s="2502"/>
      <c r="K161" s="2187"/>
      <c r="L161" s="2109"/>
      <c r="M161" s="2109"/>
      <c r="N161" s="2505"/>
      <c r="O161" s="2187"/>
      <c r="P161" s="2109"/>
      <c r="Q161" s="2109"/>
      <c r="R161" s="2503"/>
      <c r="S161" s="2108"/>
      <c r="T161" s="318"/>
      <c r="U161" s="319"/>
      <c r="V161" s="319" t="s">
        <v>176</v>
      </c>
      <c r="W161" s="320"/>
      <c r="Y161" s="1260"/>
      <c r="Z161" s="1260"/>
      <c r="AA161" s="1260"/>
      <c r="AB161" s="1260"/>
      <c r="AC161" s="1260"/>
      <c r="AD161" s="1260"/>
      <c r="AE161" s="1260"/>
      <c r="AF161" s="1260"/>
      <c r="AG161" s="1260"/>
      <c r="AH161" s="1260"/>
      <c r="AI161" s="1260"/>
      <c r="AJ161" s="1260"/>
      <c r="AK161" s="1260"/>
    </row>
    <row s="1854" customFormat="1" customHeight="1" ht="17.25">
      <c r="A162" s="1841"/>
      <c r="C162" s="1846"/>
      <c r="D162" s="1831"/>
      <c r="E162" s="1848"/>
      <c r="F162" s="1785"/>
      <c r="G162" s="1849"/>
      <c r="H162" s="2504"/>
      <c r="I162" s="2504"/>
      <c r="J162" s="2534"/>
      <c r="K162" s="2187"/>
      <c r="L162" s="2504"/>
      <c r="M162" s="2504"/>
      <c r="N162" s="2506"/>
      <c r="O162" s="2113"/>
      <c r="P162" s="318"/>
      <c r="Q162" s="319"/>
      <c r="R162" s="319" t="s">
        <v>177</v>
      </c>
      <c r="S162" s="1847"/>
      <c r="T162" s="1847"/>
      <c r="U162" s="1847"/>
      <c r="V162" s="1847"/>
      <c r="W162" s="320"/>
      <c r="Y162" s="1260"/>
      <c r="Z162" s="1260"/>
      <c r="AA162" s="1260"/>
      <c r="AB162" s="1260"/>
      <c r="AC162" s="1260"/>
      <c r="AD162" s="1260"/>
      <c r="AE162" s="1260"/>
      <c r="AF162" s="1260"/>
      <c r="AG162" s="1260"/>
      <c r="AH162" s="1260"/>
      <c r="AI162" s="1260"/>
      <c r="AJ162" s="1260"/>
      <c r="AK162" s="1260"/>
    </row>
    <row s="1854" customFormat="1" customHeight="1" ht="17.25">
      <c r="A163" s="1841"/>
      <c r="C163" s="1846"/>
      <c r="D163" s="1831"/>
      <c r="E163" s="1848"/>
      <c r="F163" s="1785"/>
      <c r="G163" s="1849"/>
      <c r="H163" s="2504"/>
      <c r="I163" s="2504"/>
      <c r="J163" s="2534"/>
      <c r="K163" s="2113"/>
      <c r="L163" s="318"/>
      <c r="M163" s="319"/>
      <c r="N163" s="319" t="s">
        <v>178</v>
      </c>
      <c r="O163" s="319"/>
      <c r="P163" s="319"/>
      <c r="Q163" s="319"/>
      <c r="R163" s="319"/>
      <c r="S163" s="1847"/>
      <c r="T163" s="1847"/>
      <c r="U163" s="1847"/>
      <c r="V163" s="1847"/>
      <c r="W163" s="320"/>
      <c r="Y163" s="1260"/>
      <c r="Z163" s="1260"/>
      <c r="AA163" s="1260"/>
      <c r="AB163" s="1260"/>
      <c r="AC163" s="1260"/>
      <c r="AD163" s="1260"/>
      <c r="AE163" s="1260"/>
      <c r="AF163" s="1260"/>
      <c r="AG163" s="1260"/>
      <c r="AH163" s="1260"/>
      <c r="AI163" s="1260"/>
      <c r="AJ163" s="1260"/>
      <c r="AK163" s="1260"/>
    </row>
    <row customHeight="1" ht="17.25">
      <c r="G164" s="1840"/>
      <c r="H164" s="1840"/>
      <c r="I164" s="1840"/>
      <c r="M164" s="1836"/>
    </row>
    <row s="1854" customFormat="1" customHeight="1" ht="17.25">
      <c r="A165" s="1841"/>
      <c r="C165" s="1843"/>
      <c r="D165" s="1831"/>
      <c r="E165" s="1848"/>
      <c r="F165" s="1785"/>
      <c r="G165" s="1849"/>
      <c r="H165" s="1831"/>
      <c r="I165" s="1831"/>
      <c r="J165" s="1850"/>
      <c r="K165" s="1761"/>
      <c r="L165" s="2109"/>
      <c r="M165" s="2109" t="s">
        <v>118</v>
      </c>
      <c r="N165" s="2505" t="str">
        <f>IF(Z165="","",INDEX(TERRITORY_MR_LIST,MATCH(Z165,TERRITORY_LIST_ID,0)))</f>
        <v/>
      </c>
      <c r="O165" s="2186" t="s">
        <v>61</v>
      </c>
      <c r="P165" s="2109"/>
      <c r="Q165" s="2109" t="s">
        <v>118</v>
      </c>
      <c r="R165" s="2503" t="s">
        <v>28</v>
      </c>
      <c r="S165" s="2108" t="s">
        <v>61</v>
      </c>
      <c r="T165" s="1812"/>
      <c r="U165" s="1812" t="s">
        <v>118</v>
      </c>
      <c r="V165" s="1844" t="s">
        <v>28</v>
      </c>
      <c r="W165" s="1802"/>
      <c r="Y165" s="1268"/>
      <c r="Z165" s="1268"/>
      <c r="AA165" s="1268"/>
      <c r="AB165" s="1268"/>
      <c r="AC165" s="1268"/>
      <c r="AD165" s="1268"/>
      <c r="AE165" s="1268"/>
      <c r="AF165" s="1268"/>
      <c r="AG165" s="1268"/>
      <c r="AH165" s="1268"/>
      <c r="AI165" s="1268"/>
      <c r="AJ165" s="1268"/>
      <c r="AK165" s="1268"/>
      <c r="AL165" s="1845"/>
      <c r="AM165" s="1845"/>
      <c r="AN165" s="1268"/>
      <c r="AO165" s="1268"/>
      <c r="AP165" s="1268"/>
      <c r="AQ165" s="1268"/>
    </row>
    <row s="1854" customFormat="1" customHeight="1" ht="17.25">
      <c r="A166" s="1841"/>
      <c r="C166" s="1846"/>
      <c r="D166" s="1831"/>
      <c r="E166" s="1848"/>
      <c r="F166" s="1785"/>
      <c r="G166" s="1849"/>
      <c r="H166" s="1831"/>
      <c r="I166" s="1831"/>
      <c r="J166" s="1850"/>
      <c r="K166" s="1761"/>
      <c r="L166" s="2109"/>
      <c r="M166" s="2109"/>
      <c r="N166" s="2505"/>
      <c r="O166" s="2187"/>
      <c r="P166" s="2109"/>
      <c r="Q166" s="2109"/>
      <c r="R166" s="2503"/>
      <c r="S166" s="2108"/>
      <c r="T166" s="318"/>
      <c r="U166" s="319"/>
      <c r="V166" s="319" t="s">
        <v>176</v>
      </c>
      <c r="W166" s="320"/>
      <c r="Y166" s="1260"/>
      <c r="Z166" s="1260"/>
      <c r="AA166" s="1260"/>
      <c r="AB166" s="1260"/>
      <c r="AC166" s="1260"/>
      <c r="AD166" s="1260"/>
      <c r="AE166" s="1260"/>
      <c r="AF166" s="1260"/>
      <c r="AG166" s="1260"/>
      <c r="AH166" s="1260"/>
      <c r="AI166" s="1260"/>
      <c r="AJ166" s="1260"/>
      <c r="AK166" s="1260"/>
    </row>
    <row s="1854" customFormat="1" customHeight="1" ht="17.25">
      <c r="A167" s="1841"/>
      <c r="C167" s="1846"/>
      <c r="D167" s="1831"/>
      <c r="E167" s="1848"/>
      <c r="F167" s="1785"/>
      <c r="G167" s="1849"/>
      <c r="H167" s="1831"/>
      <c r="I167" s="1831"/>
      <c r="J167" s="1850"/>
      <c r="K167" s="1761"/>
      <c r="L167" s="2504"/>
      <c r="M167" s="2504"/>
      <c r="N167" s="2506"/>
      <c r="O167" s="2113"/>
      <c r="P167" s="318"/>
      <c r="Q167" s="319"/>
      <c r="R167" s="319" t="s">
        <v>177</v>
      </c>
      <c r="S167" s="1847"/>
      <c r="T167" s="1847"/>
      <c r="U167" s="1847"/>
      <c r="V167" s="1847"/>
      <c r="W167" s="320"/>
      <c r="Y167" s="1260"/>
      <c r="Z167" s="1260"/>
      <c r="AA167" s="1260"/>
      <c r="AB167" s="1260"/>
      <c r="AC167" s="1260"/>
      <c r="AD167" s="1260"/>
      <c r="AE167" s="1260"/>
      <c r="AF167" s="1260"/>
      <c r="AG167" s="1260"/>
      <c r="AH167" s="1260"/>
      <c r="AI167" s="1260"/>
      <c r="AJ167" s="1260"/>
      <c r="AK167" s="1260"/>
    </row>
    <row customHeight="1" ht="17.25">
      <c r="G168" s="1840"/>
      <c r="H168" s="1840"/>
      <c r="I168" s="1840"/>
      <c r="M168" s="1836"/>
    </row>
    <row s="1854" customFormat="1" customHeight="1" ht="17.25">
      <c r="A169" s="1841"/>
      <c r="C169" s="1843"/>
      <c r="D169" s="1831"/>
      <c r="E169" s="1848"/>
      <c r="F169" s="1785"/>
      <c r="G169" s="1849"/>
      <c r="H169" s="1831"/>
      <c r="I169" s="1831"/>
      <c r="J169" s="1850"/>
      <c r="K169" s="1761"/>
      <c r="L169" s="1757"/>
      <c r="M169" s="1757"/>
      <c r="N169" s="2049"/>
      <c r="O169" s="1788"/>
      <c r="P169" s="2109"/>
      <c r="Q169" s="2109" t="s">
        <v>118</v>
      </c>
      <c r="R169" s="2503" t="s">
        <v>28</v>
      </c>
      <c r="S169" s="2108" t="s">
        <v>61</v>
      </c>
      <c r="T169" s="1812"/>
      <c r="U169" s="1812" t="s">
        <v>118</v>
      </c>
      <c r="V169" s="1844" t="s">
        <v>28</v>
      </c>
      <c r="W169" s="1802"/>
      <c r="Y169" s="1268"/>
      <c r="Z169" s="1268"/>
      <c r="AA169" s="1268"/>
      <c r="AB169" s="1268"/>
      <c r="AC169" s="1268"/>
      <c r="AD169" s="1268"/>
      <c r="AE169" s="1268"/>
      <c r="AF169" s="1268"/>
      <c r="AG169" s="1268"/>
      <c r="AH169" s="1268"/>
      <c r="AI169" s="1268"/>
      <c r="AJ169" s="1268"/>
      <c r="AK169" s="1268"/>
      <c r="AL169" s="1845"/>
      <c r="AM169" s="1845"/>
      <c r="AN169" s="1268"/>
      <c r="AO169" s="1268"/>
      <c r="AP169" s="1268"/>
      <c r="AQ169" s="1268"/>
    </row>
    <row s="1854" customFormat="1" customHeight="1" ht="17.25">
      <c r="A170" s="1841"/>
      <c r="C170" s="1846"/>
      <c r="D170" s="1831"/>
      <c r="E170" s="1848"/>
      <c r="F170" s="1785"/>
      <c r="G170" s="1849"/>
      <c r="H170" s="1831"/>
      <c r="I170" s="1831"/>
      <c r="J170" s="1850"/>
      <c r="K170" s="1761"/>
      <c r="L170" s="1757"/>
      <c r="M170" s="1757"/>
      <c r="N170" s="2049"/>
      <c r="O170" s="1788"/>
      <c r="P170" s="2109"/>
      <c r="Q170" s="2109"/>
      <c r="R170" s="2503"/>
      <c r="S170" s="2108"/>
      <c r="T170" s="318"/>
      <c r="U170" s="319"/>
      <c r="V170" s="319" t="s">
        <v>176</v>
      </c>
      <c r="W170" s="320"/>
      <c r="Y170" s="1260"/>
      <c r="Z170" s="1260"/>
      <c r="AA170" s="1260"/>
      <c r="AB170" s="1260"/>
      <c r="AC170" s="1260"/>
      <c r="AD170" s="1260"/>
      <c r="AE170" s="1260"/>
      <c r="AF170" s="1260"/>
      <c r="AG170" s="1260"/>
      <c r="AH170" s="1260"/>
      <c r="AI170" s="1260"/>
      <c r="AJ170" s="1260"/>
      <c r="AK170" s="1260"/>
    </row>
    <row customHeight="1" ht="17.25">
      <c r="G171" s="1840"/>
      <c r="H171" s="1840"/>
      <c r="I171" s="1840"/>
      <c r="M171" s="1836"/>
    </row>
    <row s="1854" customFormat="1" customHeight="1" ht="17.25">
      <c r="A172" s="1841"/>
      <c r="C172" s="1843"/>
      <c r="D172" s="1831"/>
      <c r="E172" s="1848"/>
      <c r="F172" s="1785"/>
      <c r="G172" s="1849"/>
      <c r="H172" s="1757"/>
      <c r="I172" s="1757"/>
      <c r="J172" s="1758"/>
      <c r="K172" s="1849"/>
      <c r="L172" s="1757"/>
      <c r="M172" s="1757"/>
      <c r="N172" s="1849"/>
      <c r="O172" s="1849"/>
      <c r="P172" s="1757"/>
      <c r="Q172" s="1757"/>
      <c r="R172" s="1759"/>
      <c r="S172" s="1849"/>
      <c r="T172" s="1812"/>
      <c r="U172" s="1812" t="s">
        <v>118</v>
      </c>
      <c r="V172" s="1844" t="s">
        <v>28</v>
      </c>
      <c r="W172" s="1802"/>
      <c r="Y172" s="1268"/>
      <c r="Z172" s="1268"/>
      <c r="AA172" s="1268"/>
      <c r="AB172" s="1268"/>
      <c r="AC172" s="1268"/>
      <c r="AD172" s="1268"/>
      <c r="AE172" s="1268"/>
      <c r="AF172" s="1268"/>
      <c r="AG172" s="1268"/>
      <c r="AH172" s="1268"/>
      <c r="AI172" s="1268"/>
      <c r="AJ172" s="1268"/>
      <c r="AK172" s="1268"/>
      <c r="AL172" s="1845"/>
      <c r="AM172" s="1845"/>
      <c r="AN172" s="1268"/>
      <c r="AO172" s="1268"/>
      <c r="AP172" s="1268"/>
      <c r="AQ172" s="1268"/>
    </row>
    <row r="174" s="1816" customFormat="1" customHeight="1" ht="17.25">
      <c r="A174" s="1816" t="s">
        <v>1955</v>
      </c>
    </row>
    <row customHeight="1" ht="17.25">
      <c r="G175" s="1840"/>
      <c r="H175" s="1840"/>
      <c r="I175" s="1840"/>
      <c r="M175" s="1836"/>
    </row>
    <row s="1854" customFormat="1" customHeight="1" ht="17.25">
      <c r="A176" s="1841"/>
      <c r="C176" s="1843"/>
      <c r="D176" s="2530"/>
      <c r="E176" s="2144"/>
      <c r="F176" s="2146"/>
      <c r="G176" s="2532"/>
      <c r="H176" s="2530"/>
      <c r="I176" s="2530">
        <v>1</v>
      </c>
      <c r="J176" s="2502"/>
      <c r="K176" s="2186" t="s">
        <v>61</v>
      </c>
      <c r="L176" s="2109"/>
      <c r="M176" s="2109" t="s">
        <v>118</v>
      </c>
      <c r="N176" s="2505" t="str">
        <f>IF(Z176="","",INDEX(TERRITORY_MR_LIST,MATCH(Z176,TERRITORY_LIST_ID,0)))</f>
        <v/>
      </c>
      <c r="O176" s="2186" t="s">
        <v>61</v>
      </c>
      <c r="P176" s="2109"/>
      <c r="Q176" s="2109" t="s">
        <v>118</v>
      </c>
      <c r="R176" s="2503" t="s">
        <v>28</v>
      </c>
      <c r="S176" s="2407" t="s">
        <v>19</v>
      </c>
      <c r="T176" s="1803"/>
      <c r="U176" s="1803" t="s">
        <v>118</v>
      </c>
      <c r="V176" s="1435"/>
      <c r="W176" s="2502"/>
      <c r="Y176" s="1268"/>
      <c r="Z176" s="1268"/>
      <c r="AA176" s="1268"/>
      <c r="AB176" s="1268"/>
      <c r="AC176" s="1268"/>
      <c r="AD176" s="1268"/>
      <c r="AE176" s="1268"/>
      <c r="AF176" s="1268"/>
      <c r="AG176" s="1268"/>
      <c r="AH176" s="1268"/>
      <c r="AI176" s="1268"/>
      <c r="AJ176" s="1268"/>
      <c r="AK176" s="1268"/>
      <c r="AL176" s="1845"/>
      <c r="AM176" s="1845"/>
      <c r="AN176" s="1268"/>
      <c r="AO176" s="1268"/>
      <c r="AP176" s="1268"/>
      <c r="AQ176" s="1268"/>
    </row>
    <row s="1854" customFormat="1" customHeight="1" ht="17.25">
      <c r="A177" s="1841"/>
      <c r="C177" s="1846"/>
      <c r="D177" s="2530"/>
      <c r="E177" s="2144"/>
      <c r="F177" s="2147"/>
      <c r="G177" s="2532"/>
      <c r="H177" s="2530"/>
      <c r="I177" s="2530"/>
      <c r="J177" s="2502"/>
      <c r="K177" s="2187"/>
      <c r="L177" s="2109"/>
      <c r="M177" s="2109"/>
      <c r="N177" s="2505"/>
      <c r="O177" s="2187"/>
      <c r="P177" s="2109"/>
      <c r="Q177" s="2109"/>
      <c r="R177" s="2503"/>
      <c r="S177" s="2407"/>
      <c r="T177" s="1436"/>
      <c r="U177" s="1437"/>
      <c r="V177" s="1437"/>
      <c r="W177" s="2502"/>
      <c r="Y177" s="1260"/>
      <c r="Z177" s="1260"/>
      <c r="AA177" s="1260"/>
      <c r="AB177" s="1260"/>
      <c r="AC177" s="1260"/>
      <c r="AD177" s="1260"/>
      <c r="AE177" s="1260"/>
      <c r="AF177" s="1260"/>
      <c r="AG177" s="1260"/>
      <c r="AH177" s="1260"/>
      <c r="AI177" s="1260"/>
      <c r="AJ177" s="1260"/>
      <c r="AK177" s="1260"/>
    </row>
    <row s="1854" customFormat="1" customHeight="1" ht="17.25">
      <c r="A178" s="1841"/>
      <c r="C178" s="1846"/>
      <c r="D178" s="2504"/>
      <c r="E178" s="2531"/>
      <c r="F178" s="2147"/>
      <c r="G178" s="2533"/>
      <c r="H178" s="2504"/>
      <c r="I178" s="2504"/>
      <c r="J178" s="2534"/>
      <c r="K178" s="2187"/>
      <c r="L178" s="2504"/>
      <c r="M178" s="2504"/>
      <c r="N178" s="2506"/>
      <c r="O178" s="2113"/>
      <c r="P178" s="318"/>
      <c r="Q178" s="319"/>
      <c r="R178" s="319" t="s">
        <v>177</v>
      </c>
      <c r="S178" s="1847"/>
      <c r="T178" s="1847"/>
      <c r="U178" s="1847"/>
      <c r="V178" s="1847"/>
      <c r="W178" s="1434"/>
      <c r="Y178" s="1260"/>
      <c r="Z178" s="1260"/>
      <c r="AA178" s="1260"/>
      <c r="AB178" s="1260"/>
      <c r="AC178" s="1260"/>
      <c r="AD178" s="1260"/>
      <c r="AE178" s="1260"/>
      <c r="AF178" s="1260"/>
      <c r="AG178" s="1260"/>
      <c r="AH178" s="1260"/>
      <c r="AI178" s="1260"/>
      <c r="AJ178" s="1260"/>
      <c r="AK178" s="1260"/>
    </row>
    <row s="1854" customFormat="1" customHeight="1" ht="17.25">
      <c r="A179" s="1841"/>
      <c r="C179" s="1846"/>
      <c r="D179" s="2504"/>
      <c r="E179" s="2531"/>
      <c r="F179" s="2147"/>
      <c r="G179" s="2533"/>
      <c r="H179" s="2504"/>
      <c r="I179" s="2504"/>
      <c r="J179" s="2534"/>
      <c r="K179" s="2113"/>
      <c r="L179" s="318"/>
      <c r="M179" s="319"/>
      <c r="N179" s="319" t="s">
        <v>178</v>
      </c>
      <c r="O179" s="319"/>
      <c r="P179" s="319"/>
      <c r="Q179" s="319"/>
      <c r="R179" s="319"/>
      <c r="S179" s="1847"/>
      <c r="T179" s="1847"/>
      <c r="U179" s="1847"/>
      <c r="V179" s="1847"/>
      <c r="W179" s="320"/>
      <c r="Y179" s="1260"/>
      <c r="Z179" s="1260"/>
      <c r="AA179" s="1260"/>
      <c r="AB179" s="1260"/>
      <c r="AC179" s="1260"/>
      <c r="AD179" s="1260"/>
      <c r="AE179" s="1260"/>
      <c r="AF179" s="1260"/>
      <c r="AG179" s="1260"/>
      <c r="AH179" s="1260"/>
      <c r="AI179" s="1260"/>
      <c r="AJ179" s="1260"/>
      <c r="AK179" s="1260"/>
    </row>
    <row s="1854" customFormat="1" customHeight="1" ht="17.25">
      <c r="A180" s="1841"/>
      <c r="C180" s="1846"/>
      <c r="D180" s="2504"/>
      <c r="E180" s="2531"/>
      <c r="F180" s="2148"/>
      <c r="G180" s="2533"/>
      <c r="H180" s="318"/>
      <c r="I180" s="319"/>
      <c r="J180" s="319" t="s">
        <v>184</v>
      </c>
      <c r="K180" s="319"/>
      <c r="L180" s="319"/>
      <c r="M180" s="319"/>
      <c r="N180" s="319"/>
      <c r="O180" s="319"/>
      <c r="P180" s="319"/>
      <c r="Q180" s="319"/>
      <c r="R180" s="319"/>
      <c r="S180" s="1847"/>
      <c r="T180" s="1847"/>
      <c r="U180" s="1847"/>
      <c r="V180" s="1847"/>
      <c r="W180" s="320"/>
      <c r="Y180" s="1260"/>
      <c r="Z180" s="1260"/>
      <c r="AA180" s="1260"/>
      <c r="AB180" s="1260"/>
      <c r="AC180" s="1260"/>
      <c r="AD180" s="1260"/>
      <c r="AE180" s="1260"/>
      <c r="AF180" s="1260"/>
      <c r="AG180" s="1260"/>
      <c r="AH180" s="1260"/>
      <c r="AI180" s="1260"/>
      <c r="AJ180" s="1260"/>
      <c r="AK180" s="1260"/>
    </row>
    <row customHeight="1" ht="17.25">
      <c r="A181" s="1851"/>
    </row>
    <row s="1854" customFormat="1" customHeight="1" ht="17.25">
      <c r="A182" s="1841"/>
      <c r="C182" s="1843"/>
      <c r="D182" s="1831"/>
      <c r="E182" s="1848"/>
      <c r="F182" s="1785"/>
      <c r="G182" s="1849"/>
      <c r="H182" s="2530"/>
      <c r="I182" s="2530">
        <v>1</v>
      </c>
      <c r="J182" s="2502"/>
      <c r="K182" s="2186" t="s">
        <v>61</v>
      </c>
      <c r="L182" s="2109"/>
      <c r="M182" s="2109" t="s">
        <v>118</v>
      </c>
      <c r="N182" s="2505" t="str">
        <f>IF(Z182="","",INDEX(TERRITORY_MR_LIST,MATCH(Z182,TERRITORY_LIST_ID,0)))</f>
        <v/>
      </c>
      <c r="O182" s="2186" t="s">
        <v>61</v>
      </c>
      <c r="P182" s="2109"/>
      <c r="Q182" s="2109" t="s">
        <v>118</v>
      </c>
      <c r="R182" s="2503" t="s">
        <v>28</v>
      </c>
      <c r="S182" s="2407" t="s">
        <v>19</v>
      </c>
      <c r="T182" s="1803"/>
      <c r="U182" s="1803" t="s">
        <v>118</v>
      </c>
      <c r="V182" s="1435"/>
      <c r="W182" s="2502"/>
      <c r="Y182" s="1268"/>
      <c r="Z182" s="1268"/>
      <c r="AA182" s="1268"/>
      <c r="AB182" s="1268"/>
      <c r="AC182" s="1268"/>
      <c r="AD182" s="1268"/>
      <c r="AE182" s="1268"/>
      <c r="AF182" s="1268"/>
      <c r="AG182" s="1268"/>
      <c r="AH182" s="1268"/>
      <c r="AI182" s="1268"/>
      <c r="AJ182" s="1268"/>
      <c r="AK182" s="1268"/>
      <c r="AL182" s="1845"/>
      <c r="AM182" s="1845"/>
      <c r="AN182" s="1268"/>
      <c r="AO182" s="1268"/>
      <c r="AP182" s="1268"/>
      <c r="AQ182" s="1268"/>
    </row>
    <row s="1854" customFormat="1" customHeight="1" ht="17.25">
      <c r="A183" s="1841"/>
      <c r="C183" s="1846"/>
      <c r="D183" s="1831"/>
      <c r="E183" s="1848"/>
      <c r="F183" s="1785"/>
      <c r="G183" s="1849"/>
      <c r="H183" s="2530"/>
      <c r="I183" s="2530"/>
      <c r="J183" s="2502"/>
      <c r="K183" s="2187"/>
      <c r="L183" s="2109"/>
      <c r="M183" s="2109"/>
      <c r="N183" s="2505"/>
      <c r="O183" s="2187"/>
      <c r="P183" s="2109"/>
      <c r="Q183" s="2109"/>
      <c r="R183" s="2503"/>
      <c r="S183" s="2407"/>
      <c r="T183" s="1436"/>
      <c r="U183" s="1437"/>
      <c r="V183" s="1437"/>
      <c r="W183" s="2502"/>
      <c r="Y183" s="1260"/>
      <c r="Z183" s="1260"/>
      <c r="AA183" s="1260"/>
      <c r="AB183" s="1260"/>
      <c r="AC183" s="1260"/>
      <c r="AD183" s="1260"/>
      <c r="AE183" s="1260"/>
      <c r="AF183" s="1260"/>
      <c r="AG183" s="1260"/>
      <c r="AH183" s="1260"/>
      <c r="AI183" s="1260"/>
      <c r="AJ183" s="1260"/>
      <c r="AK183" s="1260"/>
    </row>
    <row s="1854" customFormat="1" customHeight="1" ht="17.25">
      <c r="A184" s="1841"/>
      <c r="C184" s="1846"/>
      <c r="D184" s="1831"/>
      <c r="E184" s="1848"/>
      <c r="F184" s="1785"/>
      <c r="G184" s="1849"/>
      <c r="H184" s="2504"/>
      <c r="I184" s="2504"/>
      <c r="J184" s="2534"/>
      <c r="K184" s="2187"/>
      <c r="L184" s="2504"/>
      <c r="M184" s="2504"/>
      <c r="N184" s="2506"/>
      <c r="O184" s="2113"/>
      <c r="P184" s="318"/>
      <c r="Q184" s="319"/>
      <c r="R184" s="319" t="s">
        <v>177</v>
      </c>
      <c r="S184" s="1847"/>
      <c r="T184" s="1847"/>
      <c r="U184" s="1847"/>
      <c r="V184" s="1847"/>
      <c r="W184" s="1434"/>
      <c r="Y184" s="1260"/>
      <c r="Z184" s="1260"/>
      <c r="AA184" s="1260"/>
      <c r="AB184" s="1260"/>
      <c r="AC184" s="1260"/>
      <c r="AD184" s="1260"/>
      <c r="AE184" s="1260"/>
      <c r="AF184" s="1260"/>
      <c r="AG184" s="1260"/>
      <c r="AH184" s="1260"/>
      <c r="AI184" s="1260"/>
      <c r="AJ184" s="1260"/>
      <c r="AK184" s="1260"/>
    </row>
    <row s="1854" customFormat="1" customHeight="1" ht="17.25">
      <c r="A185" s="1841"/>
      <c r="C185" s="1846"/>
      <c r="D185" s="1831"/>
      <c r="E185" s="1848"/>
      <c r="F185" s="1785"/>
      <c r="G185" s="1849"/>
      <c r="H185" s="2504"/>
      <c r="I185" s="2504"/>
      <c r="J185" s="2534"/>
      <c r="K185" s="2113"/>
      <c r="L185" s="318"/>
      <c r="M185" s="319"/>
      <c r="N185" s="319" t="s">
        <v>178</v>
      </c>
      <c r="O185" s="319"/>
      <c r="P185" s="319"/>
      <c r="Q185" s="319"/>
      <c r="R185" s="319"/>
      <c r="S185" s="1847"/>
      <c r="T185" s="1847"/>
      <c r="U185" s="1847"/>
      <c r="V185" s="1847"/>
      <c r="W185" s="320"/>
      <c r="Y185" s="1260"/>
      <c r="Z185" s="1260"/>
      <c r="AA185" s="1260"/>
      <c r="AB185" s="1260"/>
      <c r="AC185" s="1260"/>
      <c r="AD185" s="1260"/>
      <c r="AE185" s="1260"/>
      <c r="AF185" s="1260"/>
      <c r="AG185" s="1260"/>
      <c r="AH185" s="1260"/>
      <c r="AI185" s="1260"/>
      <c r="AJ185" s="1260"/>
      <c r="AK185" s="1260"/>
    </row>
    <row customHeight="1" ht="17.25">
      <c r="A186" s="1851"/>
    </row>
    <row s="1854" customFormat="1" customHeight="1" ht="17.25">
      <c r="A187" s="1841"/>
      <c r="C187" s="1843"/>
      <c r="D187" s="1831"/>
      <c r="E187" s="1848"/>
      <c r="F187" s="1785"/>
      <c r="G187" s="1849"/>
      <c r="H187" s="1831"/>
      <c r="I187" s="1831"/>
      <c r="J187" s="1852"/>
      <c r="K187" s="1849"/>
      <c r="L187" s="2109"/>
      <c r="M187" s="2109" t="s">
        <v>118</v>
      </c>
      <c r="N187" s="2505" t="str">
        <f>IF(Z187="","",INDEX(TERRITORY_MR_LIST,MATCH(Z187,TERRITORY_LIST_ID,0)))</f>
        <v/>
      </c>
      <c r="O187" s="2186" t="s">
        <v>61</v>
      </c>
      <c r="P187" s="2109"/>
      <c r="Q187" s="2109" t="s">
        <v>118</v>
      </c>
      <c r="R187" s="2503" t="s">
        <v>28</v>
      </c>
      <c r="S187" s="2407" t="s">
        <v>19</v>
      </c>
      <c r="T187" s="1803"/>
      <c r="U187" s="1803" t="s">
        <v>118</v>
      </c>
      <c r="V187" s="1435"/>
      <c r="W187" s="2502"/>
      <c r="Y187" s="1268"/>
      <c r="Z187" s="1268"/>
      <c r="AA187" s="1268"/>
      <c r="AB187" s="1268"/>
      <c r="AC187" s="1268"/>
      <c r="AD187" s="1268"/>
      <c r="AE187" s="1268"/>
      <c r="AF187" s="1268"/>
      <c r="AG187" s="1268"/>
      <c r="AH187" s="1268"/>
      <c r="AI187" s="1268"/>
      <c r="AJ187" s="1268"/>
      <c r="AK187" s="1268"/>
      <c r="AL187" s="1845"/>
      <c r="AM187" s="1845"/>
      <c r="AN187" s="1268"/>
      <c r="AO187" s="1268"/>
      <c r="AP187" s="1268"/>
      <c r="AQ187" s="1268"/>
    </row>
    <row s="1854" customFormat="1" customHeight="1" ht="17.25">
      <c r="A188" s="1841"/>
      <c r="C188" s="1846"/>
      <c r="D188" s="1831"/>
      <c r="E188" s="1848"/>
      <c r="F188" s="1785"/>
      <c r="G188" s="1849"/>
      <c r="H188" s="1831"/>
      <c r="I188" s="1831"/>
      <c r="J188" s="1852"/>
      <c r="K188" s="1849"/>
      <c r="L188" s="2109"/>
      <c r="M188" s="2109"/>
      <c r="N188" s="2505"/>
      <c r="O188" s="2187"/>
      <c r="P188" s="2109"/>
      <c r="Q188" s="2109"/>
      <c r="R188" s="2503"/>
      <c r="S188" s="2407"/>
      <c r="T188" s="1436"/>
      <c r="U188" s="1437"/>
      <c r="V188" s="1437"/>
      <c r="W188" s="2502"/>
      <c r="Y188" s="1260"/>
      <c r="Z188" s="1260"/>
      <c r="AA188" s="1260"/>
      <c r="AB188" s="1260"/>
      <c r="AC188" s="1260"/>
      <c r="AD188" s="1260"/>
      <c r="AE188" s="1260"/>
      <c r="AF188" s="1260"/>
      <c r="AG188" s="1260"/>
      <c r="AH188" s="1260"/>
      <c r="AI188" s="1260"/>
      <c r="AJ188" s="1260"/>
      <c r="AK188" s="1260"/>
    </row>
    <row s="1854" customFormat="1" customHeight="1" ht="17.25">
      <c r="A189" s="1841"/>
      <c r="C189" s="1846"/>
      <c r="D189" s="1831"/>
      <c r="E189" s="1848"/>
      <c r="F189" s="1785"/>
      <c r="G189" s="1849"/>
      <c r="H189" s="1831"/>
      <c r="I189" s="1831"/>
      <c r="J189" s="1852"/>
      <c r="K189" s="1849"/>
      <c r="L189" s="2504"/>
      <c r="M189" s="2504"/>
      <c r="N189" s="2506"/>
      <c r="O189" s="2113"/>
      <c r="P189" s="318"/>
      <c r="Q189" s="319"/>
      <c r="R189" s="319" t="s">
        <v>177</v>
      </c>
      <c r="S189" s="1847"/>
      <c r="T189" s="1847"/>
      <c r="U189" s="1847"/>
      <c r="V189" s="1847"/>
      <c r="W189" s="1434"/>
      <c r="Y189" s="1260"/>
      <c r="Z189" s="1260"/>
      <c r="AA189" s="1260"/>
      <c r="AB189" s="1260"/>
      <c r="AC189" s="1260"/>
      <c r="AD189" s="1260"/>
      <c r="AE189" s="1260"/>
      <c r="AF189" s="1260"/>
      <c r="AG189" s="1260"/>
      <c r="AH189" s="1260"/>
      <c r="AI189" s="1260"/>
      <c r="AJ189" s="1260"/>
      <c r="AK189" s="1260"/>
    </row>
    <row customHeight="1" ht="17.25">
      <c r="A190" s="1851"/>
    </row>
    <row s="1854" customFormat="1" customHeight="1" ht="17.25">
      <c r="A191" s="1841"/>
      <c r="C191" s="1843"/>
      <c r="D191" s="1831"/>
      <c r="E191" s="1848"/>
      <c r="F191" s="1785"/>
      <c r="G191" s="1849"/>
      <c r="H191" s="1831"/>
      <c r="I191" s="1831"/>
      <c r="J191" s="1852"/>
      <c r="K191" s="1849"/>
      <c r="L191" s="1831"/>
      <c r="M191" s="1831"/>
      <c r="N191" s="2049"/>
      <c r="O191" s="1788"/>
      <c r="P191" s="2109"/>
      <c r="Q191" s="2109" t="s">
        <v>118</v>
      </c>
      <c r="R191" s="2503" t="s">
        <v>28</v>
      </c>
      <c r="S191" s="2407" t="s">
        <v>19</v>
      </c>
      <c r="T191" s="1803"/>
      <c r="U191" s="1803" t="s">
        <v>118</v>
      </c>
      <c r="V191" s="1435"/>
      <c r="W191" s="2502"/>
      <c r="Y191" s="1268"/>
      <c r="Z191" s="1268"/>
      <c r="AA191" s="1268"/>
      <c r="AB191" s="1268"/>
      <c r="AC191" s="1268"/>
      <c r="AD191" s="1268"/>
      <c r="AE191" s="1268"/>
      <c r="AF191" s="1268"/>
      <c r="AG191" s="1268"/>
      <c r="AH191" s="1268"/>
      <c r="AI191" s="1268"/>
      <c r="AJ191" s="1268"/>
      <c r="AK191" s="1268"/>
      <c r="AL191" s="1845"/>
      <c r="AM191" s="1845"/>
      <c r="AN191" s="1268"/>
      <c r="AO191" s="1268"/>
      <c r="AP191" s="1268"/>
      <c r="AQ191" s="1268"/>
    </row>
    <row s="1854" customFormat="1" customHeight="1" ht="17.25">
      <c r="A192" s="1841"/>
      <c r="C192" s="1846"/>
      <c r="D192" s="1831"/>
      <c r="E192" s="1848"/>
      <c r="F192" s="1785"/>
      <c r="G192" s="1849"/>
      <c r="H192" s="1831"/>
      <c r="I192" s="1831"/>
      <c r="J192" s="1852"/>
      <c r="K192" s="1849"/>
      <c r="L192" s="1831"/>
      <c r="M192" s="1831"/>
      <c r="N192" s="2049"/>
      <c r="O192" s="1788"/>
      <c r="P192" s="2109"/>
      <c r="Q192" s="2109"/>
      <c r="R192" s="2503"/>
      <c r="S192" s="2407"/>
      <c r="T192" s="1436"/>
      <c r="U192" s="1437"/>
      <c r="V192" s="1437"/>
      <c r="W192" s="2502"/>
      <c r="Y192" s="1260"/>
      <c r="Z192" s="1260"/>
      <c r="AA192" s="1260"/>
      <c r="AB192" s="1260"/>
      <c r="AC192" s="1260"/>
      <c r="AD192" s="1260"/>
      <c r="AE192" s="1260"/>
      <c r="AF192" s="1260"/>
      <c r="AG192" s="1260"/>
      <c r="AH192" s="1260"/>
      <c r="AI192" s="1260"/>
      <c r="AJ192" s="1260"/>
      <c r="AK192" s="1260"/>
    </row>
    <row customHeight="1" ht="17.25">
      <c r="A193" s="1851"/>
    </row>
    <row customHeight="1" ht="16.5">
      <c r="A194" s="1841"/>
      <c r="B194" s="1842"/>
      <c r="C194" s="1846"/>
      <c r="D194" s="2554"/>
      <c r="E194" s="2180"/>
      <c r="F194" s="2180"/>
      <c r="G194" s="2128"/>
      <c r="H194" s="2555"/>
      <c r="I194" s="2568"/>
      <c r="J194" s="2153"/>
      <c r="K194" s="2138"/>
      <c r="L194" s="2138"/>
      <c r="M194" s="2138"/>
      <c r="N194" s="2566"/>
      <c r="O194" s="2138"/>
      <c r="P194" s="2138"/>
      <c r="Q194" s="2138"/>
      <c r="R194" s="2564"/>
      <c r="S194" s="2138"/>
      <c r="T194" s="1784"/>
      <c r="U194" s="1784"/>
      <c r="V194" s="1853"/>
      <c r="W194" s="1297"/>
    </row>
    <row customHeight="1" ht="16.5">
      <c r="A195" s="1841"/>
      <c r="B195" s="1842"/>
      <c r="C195" s="1846"/>
      <c r="D195" s="2554"/>
      <c r="E195" s="2180"/>
      <c r="F195" s="2180"/>
      <c r="G195" s="2128"/>
      <c r="H195" s="2556"/>
      <c r="I195" s="2569"/>
      <c r="J195" s="2154"/>
      <c r="K195" s="2139"/>
      <c r="L195" s="2139"/>
      <c r="M195" s="2139"/>
      <c r="N195" s="2567"/>
      <c r="O195" s="2139"/>
      <c r="P195" s="2139"/>
      <c r="Q195" s="2139"/>
      <c r="R195" s="2565"/>
      <c r="S195" s="2139"/>
      <c r="T195" s="1298"/>
      <c r="U195" s="1298"/>
      <c r="V195" s="1298"/>
      <c r="W195" s="1299"/>
    </row>
    <row customHeight="1" ht="17.25">
      <c r="A196" s="1841"/>
      <c r="B196" s="1842"/>
      <c r="C196" s="1846"/>
      <c r="D196" s="2554"/>
      <c r="E196" s="2180"/>
      <c r="F196" s="2180"/>
      <c r="G196" s="2128"/>
      <c r="H196" s="2556"/>
      <c r="I196" s="2569"/>
      <c r="J196" s="2557"/>
      <c r="K196" s="2139"/>
      <c r="L196" s="2139"/>
      <c r="M196" s="2139"/>
      <c r="N196" s="2565"/>
      <c r="O196" s="2139"/>
      <c r="P196" s="1787"/>
      <c r="Q196" s="1298"/>
      <c r="R196" s="1298"/>
      <c r="S196" s="1854"/>
      <c r="T196" s="1854"/>
      <c r="U196" s="1854"/>
      <c r="V196" s="1854"/>
      <c r="W196" s="1299"/>
    </row>
    <row customHeight="1" ht="17.25">
      <c r="A197" s="1841"/>
      <c r="B197" s="1842"/>
      <c r="C197" s="1846"/>
      <c r="D197" s="2554"/>
      <c r="E197" s="2180"/>
      <c r="F197" s="2180"/>
      <c r="G197" s="2128"/>
      <c r="H197" s="2556"/>
      <c r="I197" s="2569"/>
      <c r="J197" s="2557"/>
      <c r="K197" s="2139"/>
      <c r="L197" s="1298"/>
      <c r="M197" s="1298"/>
      <c r="N197" s="1298"/>
      <c r="O197" s="1298"/>
      <c r="P197" s="1298"/>
      <c r="Q197" s="1298"/>
      <c r="R197" s="1298"/>
      <c r="S197" s="1854"/>
      <c r="T197" s="1854"/>
      <c r="U197" s="1854"/>
      <c r="V197" s="1854"/>
      <c r="W197" s="1299"/>
    </row>
    <row customHeight="1" ht="17.25">
      <c r="A198" s="1841"/>
      <c r="B198" s="1842"/>
      <c r="C198" s="1846"/>
      <c r="D198" s="2554"/>
      <c r="E198" s="2180"/>
      <c r="F198" s="2180"/>
      <c r="G198" s="2128"/>
      <c r="H198" s="1300"/>
      <c r="I198" s="1301"/>
      <c r="J198" s="1301"/>
      <c r="K198" s="1301"/>
      <c r="L198" s="1301"/>
      <c r="M198" s="1301"/>
      <c r="N198" s="1301"/>
      <c r="O198" s="1301"/>
      <c r="P198" s="1301"/>
      <c r="Q198" s="1301"/>
      <c r="R198" s="1301"/>
      <c r="S198" s="1855"/>
      <c r="T198" s="1855"/>
      <c r="U198" s="1855"/>
      <c r="V198" s="1855"/>
      <c r="W198" s="1303"/>
    </row>
    <row r="200" s="1816" customFormat="1" customHeight="1" ht="17.25">
      <c r="A200" s="1816" t="s">
        <v>1956</v>
      </c>
    </row>
    <row customHeight="1" ht="17.25">
      <c r="G201" s="1840"/>
      <c r="H201" s="1840"/>
      <c r="I201" s="1840"/>
      <c r="M201" s="1836"/>
    </row>
    <row s="1851" customFormat="1" customHeight="1" ht="15">
      <c r="D202" s="2524"/>
      <c r="E202" s="2200"/>
      <c r="F202" s="2200"/>
      <c r="G202" s="2186"/>
      <c r="H202" s="1565"/>
      <c r="I202" s="2528">
        <v>1</v>
      </c>
      <c r="J202" s="2502"/>
      <c r="K202" s="1580"/>
      <c r="L202" s="2186" t="s">
        <v>61</v>
      </c>
      <c r="M202" s="2186" t="s">
        <v>61</v>
      </c>
      <c r="N202" s="1565"/>
      <c r="O202" s="2109" t="s">
        <v>118</v>
      </c>
      <c r="P202" s="2518"/>
      <c r="Q202" s="1581"/>
      <c r="R202" s="2186" t="s">
        <v>61</v>
      </c>
      <c r="S202" s="2186" t="s">
        <v>61</v>
      </c>
      <c r="T202" s="1856"/>
      <c r="U202" s="2109" t="s">
        <v>118</v>
      </c>
      <c r="V202" s="2525" t="str">
        <f>IF(AK202="","",INDEX(TERRITORY_MR_LIST,MATCH(AK202,TERRITORY_LIST_ID,0)))</f>
        <v/>
      </c>
      <c r="W202" s="1582"/>
      <c r="X202" s="2186" t="s">
        <v>61</v>
      </c>
      <c r="Y202" s="2186" t="s">
        <v>19</v>
      </c>
      <c r="Z202" s="1565"/>
      <c r="AA202" s="2109" t="s">
        <v>118</v>
      </c>
      <c r="AB202" s="2527"/>
      <c r="AC202" s="1583"/>
      <c r="AD202" s="2186" t="s">
        <v>61</v>
      </c>
      <c r="AE202" s="2186" t="s">
        <v>19</v>
      </c>
      <c r="AF202" s="1563"/>
      <c r="AG202" s="1812" t="s">
        <v>118</v>
      </c>
      <c r="AH202" s="1573"/>
      <c r="AI202" s="1802"/>
    </row>
    <row s="1851" customFormat="1" customHeight="1" ht="15">
      <c r="D203" s="2524"/>
      <c r="E203" s="2200"/>
      <c r="F203" s="2200"/>
      <c r="G203" s="2187"/>
      <c r="H203" s="1565"/>
      <c r="I203" s="2528"/>
      <c r="J203" s="2502"/>
      <c r="K203" s="1564"/>
      <c r="L203" s="2187"/>
      <c r="M203" s="2187"/>
      <c r="N203" s="1565"/>
      <c r="O203" s="2109"/>
      <c r="P203" s="2518"/>
      <c r="Q203" s="1561"/>
      <c r="R203" s="2187"/>
      <c r="S203" s="2187"/>
      <c r="T203" s="1856"/>
      <c r="U203" s="2109"/>
      <c r="V203" s="2526"/>
      <c r="W203" s="1562"/>
      <c r="X203" s="2187"/>
      <c r="Y203" s="2187"/>
      <c r="Z203" s="1565"/>
      <c r="AA203" s="2109"/>
      <c r="AB203" s="2496"/>
      <c r="AC203" s="1566"/>
      <c r="AD203" s="2113"/>
      <c r="AE203" s="2113"/>
      <c r="AF203" s="1567"/>
      <c r="AG203" s="1568"/>
      <c r="AH203" s="2519" t="s">
        <v>1957</v>
      </c>
      <c r="AI203" s="2520"/>
    </row>
    <row s="1851" customFormat="1" customHeight="1" ht="15">
      <c r="D204" s="2524"/>
      <c r="E204" s="2200"/>
      <c r="F204" s="2200"/>
      <c r="G204" s="2187"/>
      <c r="H204" s="1565"/>
      <c r="I204" s="2528"/>
      <c r="J204" s="2502"/>
      <c r="K204" s="1564"/>
      <c r="L204" s="2187"/>
      <c r="M204" s="2187"/>
      <c r="N204" s="1565"/>
      <c r="O204" s="2109"/>
      <c r="P204" s="2518"/>
      <c r="Q204" s="1561"/>
      <c r="R204" s="2187"/>
      <c r="S204" s="2187"/>
      <c r="T204" s="1856"/>
      <c r="U204" s="2109"/>
      <c r="V204" s="2526"/>
      <c r="W204" s="1562"/>
      <c r="X204" s="2187"/>
      <c r="Y204" s="2187"/>
      <c r="Z204" s="1604"/>
      <c r="AA204" s="1570"/>
      <c r="AB204" s="2521" t="s">
        <v>1958</v>
      </c>
      <c r="AC204" s="2521"/>
      <c r="AD204" s="2521"/>
      <c r="AE204" s="2521"/>
      <c r="AF204" s="2521"/>
      <c r="AG204" s="2521"/>
      <c r="AH204" s="2521"/>
      <c r="AI204" s="2522"/>
    </row>
    <row s="1851" customFormat="1" customHeight="1" ht="15">
      <c r="D205" s="2524"/>
      <c r="E205" s="2200"/>
      <c r="F205" s="2200"/>
      <c r="G205" s="2187"/>
      <c r="H205" s="1565"/>
      <c r="I205" s="2528"/>
      <c r="J205" s="2502"/>
      <c r="K205" s="1564"/>
      <c r="L205" s="2187"/>
      <c r="M205" s="2187"/>
      <c r="N205" s="1565"/>
      <c r="O205" s="2109"/>
      <c r="P205" s="2523"/>
      <c r="Q205" s="1561"/>
      <c r="R205" s="2187"/>
      <c r="S205" s="2187"/>
      <c r="T205" s="1857"/>
      <c r="U205" s="1605"/>
      <c r="V205" s="2519" t="s">
        <v>112</v>
      </c>
      <c r="W205" s="2519"/>
      <c r="X205" s="2519"/>
      <c r="Y205" s="2519"/>
      <c r="Z205" s="2519"/>
      <c r="AA205" s="2519"/>
      <c r="AB205" s="2519"/>
      <c r="AC205" s="2519"/>
      <c r="AD205" s="2519"/>
      <c r="AE205" s="2519"/>
      <c r="AF205" s="2519"/>
      <c r="AG205" s="2519"/>
      <c r="AH205" s="2519"/>
      <c r="AI205" s="2520"/>
    </row>
    <row s="1851" customFormat="1" customHeight="1" ht="11.25">
      <c r="D206" s="2524"/>
      <c r="E206" s="2200"/>
      <c r="F206" s="2200"/>
      <c r="G206" s="2187"/>
      <c r="H206" s="1569"/>
      <c r="I206" s="2528"/>
      <c r="J206" s="2529"/>
      <c r="K206" s="1564"/>
      <c r="L206" s="2187"/>
      <c r="M206" s="2187"/>
      <c r="N206" s="1569"/>
      <c r="O206" s="1570"/>
      <c r="P206" s="2519" t="s">
        <v>1959</v>
      </c>
      <c r="Q206" s="2519"/>
      <c r="R206" s="2519"/>
      <c r="S206" s="2519"/>
      <c r="T206" s="2519"/>
      <c r="U206" s="2519"/>
      <c r="V206" s="2519"/>
      <c r="W206" s="2519"/>
      <c r="X206" s="2519"/>
      <c r="Y206" s="2519"/>
      <c r="Z206" s="2519"/>
      <c r="AA206" s="2519"/>
      <c r="AB206" s="2519"/>
      <c r="AC206" s="2519"/>
      <c r="AD206" s="2519"/>
      <c r="AE206" s="2519"/>
      <c r="AF206" s="2519"/>
      <c r="AG206" s="2519"/>
      <c r="AH206" s="2519"/>
      <c r="AI206" s="2520"/>
    </row>
    <row s="1555" customFormat="1" customHeight="1" ht="11.25">
      <c r="D207" s="2524"/>
      <c r="E207" s="2200"/>
      <c r="F207" s="2200"/>
      <c r="G207" s="2113"/>
      <c r="H207" s="1571"/>
      <c r="I207" s="1572"/>
      <c r="J207" s="2519" t="s">
        <v>184</v>
      </c>
      <c r="K207" s="2519"/>
      <c r="L207" s="2519"/>
      <c r="M207" s="2519"/>
      <c r="N207" s="2519"/>
      <c r="O207" s="2519"/>
      <c r="P207" s="2519"/>
      <c r="Q207" s="2519"/>
      <c r="R207" s="2519"/>
      <c r="S207" s="2519"/>
      <c r="T207" s="2519"/>
      <c r="U207" s="2519"/>
      <c r="V207" s="2519"/>
      <c r="W207" s="2519"/>
      <c r="X207" s="2519"/>
      <c r="Y207" s="2519"/>
      <c r="Z207" s="2519"/>
      <c r="AA207" s="2519"/>
      <c r="AB207" s="2519"/>
      <c r="AC207" s="2519"/>
      <c r="AD207" s="2519"/>
      <c r="AE207" s="2519"/>
      <c r="AF207" s="2519"/>
      <c r="AG207" s="2519"/>
      <c r="AH207" s="2519"/>
      <c r="AI207" s="2520"/>
      <c r="BK207" s="1575"/>
    </row>
    <row customHeight="1" ht="17.25">
      <c r="G208" s="1840"/>
      <c r="I208" s="1840"/>
      <c r="J208" s="1840"/>
      <c r="N208" s="1836"/>
    </row>
    <row s="1851" customFormat="1" customHeight="1" ht="15">
      <c r="D209" s="2524"/>
      <c r="E209" s="2200"/>
      <c r="F209" s="2200"/>
      <c r="G209" s="2180"/>
      <c r="H209" s="1600"/>
      <c r="I209" s="2182"/>
      <c r="J209" s="2153"/>
      <c r="K209" s="1786"/>
      <c r="L209" s="2138"/>
      <c r="M209" s="2138"/>
      <c r="N209" s="1585"/>
      <c r="O209" s="2138"/>
      <c r="P209" s="2153"/>
      <c r="Q209" s="1790"/>
      <c r="R209" s="2138"/>
      <c r="S209" s="2138"/>
      <c r="T209" s="1858"/>
      <c r="U209" s="2138"/>
      <c r="V209" s="2153"/>
      <c r="W209" s="1588"/>
      <c r="X209" s="2138"/>
      <c r="Y209" s="2138"/>
      <c r="Z209" s="1585"/>
      <c r="AA209" s="2138"/>
      <c r="AB209" s="2153"/>
      <c r="AC209" s="1589"/>
      <c r="AD209" s="2138"/>
      <c r="AE209" s="2138"/>
      <c r="AF209" s="1784"/>
      <c r="AG209" s="1784"/>
      <c r="AH209" s="1590"/>
      <c r="AI209" s="1297"/>
    </row>
    <row s="1851" customFormat="1" customHeight="1" ht="15">
      <c r="D210" s="2524"/>
      <c r="E210" s="2200"/>
      <c r="F210" s="2200"/>
      <c r="G210" s="2180"/>
      <c r="H210" s="1601"/>
      <c r="I210" s="2183"/>
      <c r="J210" s="2154"/>
      <c r="K210" s="1611"/>
      <c r="L210" s="2139"/>
      <c r="M210" s="2139"/>
      <c r="N210" s="1591"/>
      <c r="O210" s="2139"/>
      <c r="P210" s="2154"/>
      <c r="Q210" s="1791"/>
      <c r="R210" s="2139"/>
      <c r="S210" s="2139"/>
      <c r="T210" s="1859"/>
      <c r="U210" s="2139"/>
      <c r="V210" s="2154"/>
      <c r="W210" s="1594"/>
      <c r="X210" s="2139"/>
      <c r="Y210" s="2139"/>
      <c r="Z210" s="1591"/>
      <c r="AA210" s="2139"/>
      <c r="AB210" s="2154"/>
      <c r="AC210" s="1595"/>
      <c r="AD210" s="2139"/>
      <c r="AE210" s="2139"/>
      <c r="AF210" s="1789"/>
      <c r="AG210" s="1789"/>
      <c r="AH210" s="2178"/>
      <c r="AI210" s="2179"/>
    </row>
    <row s="1851" customFormat="1" customHeight="1" ht="15">
      <c r="D211" s="2524"/>
      <c r="E211" s="2200"/>
      <c r="F211" s="2200"/>
      <c r="G211" s="2180"/>
      <c r="H211" s="1601"/>
      <c r="I211" s="2183"/>
      <c r="J211" s="2154"/>
      <c r="K211" s="1611"/>
      <c r="L211" s="2139"/>
      <c r="M211" s="2139"/>
      <c r="N211" s="1591"/>
      <c r="O211" s="2139"/>
      <c r="P211" s="2154"/>
      <c r="Q211" s="1791"/>
      <c r="R211" s="2139"/>
      <c r="S211" s="2139"/>
      <c r="T211" s="1859"/>
      <c r="U211" s="2139"/>
      <c r="V211" s="2154"/>
      <c r="W211" s="1594"/>
      <c r="X211" s="2139"/>
      <c r="Y211" s="2139"/>
      <c r="Z211" s="1787"/>
      <c r="AA211" s="1789"/>
      <c r="AB211" s="2178"/>
      <c r="AC211" s="2178"/>
      <c r="AD211" s="2178"/>
      <c r="AE211" s="2178"/>
      <c r="AF211" s="2178"/>
      <c r="AG211" s="2178"/>
      <c r="AH211" s="2178"/>
      <c r="AI211" s="2179"/>
    </row>
    <row s="1851" customFormat="1" customHeight="1" ht="15">
      <c r="D212" s="2524"/>
      <c r="E212" s="2200"/>
      <c r="F212" s="2200"/>
      <c r="G212" s="2180"/>
      <c r="H212" s="1601"/>
      <c r="I212" s="2183"/>
      <c r="J212" s="2154"/>
      <c r="K212" s="1611"/>
      <c r="L212" s="2139"/>
      <c r="M212" s="2139"/>
      <c r="N212" s="1591"/>
      <c r="O212" s="2139"/>
      <c r="P212" s="2154"/>
      <c r="Q212" s="1791"/>
      <c r="R212" s="2139"/>
      <c r="S212" s="2139"/>
      <c r="T212" s="1860"/>
      <c r="U212" s="1598"/>
      <c r="V212" s="2178"/>
      <c r="W212" s="2178"/>
      <c r="X212" s="2178"/>
      <c r="Y212" s="2178"/>
      <c r="Z212" s="2178"/>
      <c r="AA212" s="2178"/>
      <c r="AB212" s="2178"/>
      <c r="AC212" s="2178"/>
      <c r="AD212" s="2178"/>
      <c r="AE212" s="2178"/>
      <c r="AF212" s="2178"/>
      <c r="AG212" s="2178"/>
      <c r="AH212" s="2178"/>
      <c r="AI212" s="2179"/>
    </row>
    <row s="1851" customFormat="1" customHeight="1" ht="11.25">
      <c r="D213" s="2524"/>
      <c r="E213" s="2200"/>
      <c r="F213" s="2200"/>
      <c r="G213" s="2180"/>
      <c r="H213" s="1602"/>
      <c r="I213" s="2183"/>
      <c r="J213" s="2154"/>
      <c r="K213" s="1611"/>
      <c r="L213" s="2139"/>
      <c r="M213" s="2139"/>
      <c r="N213" s="1789"/>
      <c r="O213" s="1789"/>
      <c r="P213" s="2178"/>
      <c r="Q213" s="2178"/>
      <c r="R213" s="2178"/>
      <c r="S213" s="2178"/>
      <c r="T213" s="2178"/>
      <c r="U213" s="2178"/>
      <c r="V213" s="2178"/>
      <c r="W213" s="2178"/>
      <c r="X213" s="2178"/>
      <c r="Y213" s="2178"/>
      <c r="Z213" s="2178"/>
      <c r="AA213" s="2178"/>
      <c r="AB213" s="2178"/>
      <c r="AC213" s="2178"/>
      <c r="AD213" s="2178"/>
      <c r="AE213" s="2178"/>
      <c r="AF213" s="2178"/>
      <c r="AG213" s="2178"/>
      <c r="AH213" s="2178"/>
      <c r="AI213" s="2179"/>
    </row>
    <row s="1555" customFormat="1" customHeight="1" ht="11.25">
      <c r="D214" s="2524"/>
      <c r="E214" s="2200"/>
      <c r="F214" s="2200"/>
      <c r="G214" s="2185"/>
      <c r="H214" s="1599"/>
      <c r="I214" s="1603"/>
      <c r="J214" s="2188"/>
      <c r="K214" s="2188"/>
      <c r="L214" s="2188"/>
      <c r="M214" s="2188"/>
      <c r="N214" s="2188"/>
      <c r="O214" s="2188"/>
      <c r="P214" s="2188"/>
      <c r="Q214" s="2188"/>
      <c r="R214" s="2188"/>
      <c r="S214" s="2188"/>
      <c r="T214" s="2188"/>
      <c r="U214" s="2188"/>
      <c r="V214" s="2188"/>
      <c r="W214" s="2188"/>
      <c r="X214" s="2188"/>
      <c r="Y214" s="2188"/>
      <c r="Z214" s="2188"/>
      <c r="AA214" s="2188"/>
      <c r="AB214" s="2188"/>
      <c r="AC214" s="2188"/>
      <c r="AD214" s="2188"/>
      <c r="AE214" s="2188"/>
      <c r="AF214" s="2188"/>
      <c r="AG214" s="2188"/>
      <c r="AH214" s="2188"/>
      <c r="AI214" s="2189"/>
      <c r="BK214" s="1575"/>
    </row>
    <row customHeight="1" ht="17.25">
      <c r="A215" s="1851"/>
    </row>
  </sheetData>
  <sheetProtection formatColumns="0" formatRows="0" sort="0" autoFilter="0" insertRows="0" insertColumns="1" deleteRows="0" deleteColumns="0"/>
  <mergeCells count="287">
    <mergeCell ref="A47:A51"/>
    <mergeCell ref="C47:C51"/>
    <mergeCell ref="F72:F73"/>
    <mergeCell ref="G72:G73"/>
    <mergeCell ref="H72:H73"/>
    <mergeCell ref="I72:I73"/>
    <mergeCell ref="J72:J73"/>
    <mergeCell ref="K72:K73"/>
    <mergeCell ref="U121:U123"/>
    <mergeCell ref="P83:P85"/>
    <mergeCell ref="Q83:Q85"/>
    <mergeCell ref="R83:R85"/>
    <mergeCell ref="N91:N93"/>
    <mergeCell ref="O91:O93"/>
    <mergeCell ref="P91:P93"/>
    <mergeCell ref="Q91:Q93"/>
    <mergeCell ref="R91:R93"/>
    <mergeCell ref="S91:S93"/>
    <mergeCell ref="T91:T93"/>
    <mergeCell ref="U91:U93"/>
    <mergeCell ref="V121:V123"/>
    <mergeCell ref="D154:D158"/>
    <mergeCell ref="L72:L73"/>
    <mergeCell ref="G82:G86"/>
    <mergeCell ref="U133:U135"/>
    <mergeCell ref="V133:V135"/>
    <mergeCell ref="O154:O156"/>
    <mergeCell ref="S154:S155"/>
    <mergeCell ref="U72:U73"/>
    <mergeCell ref="V72:V73"/>
    <mergeCell ref="U130:U132"/>
    <mergeCell ref="V130:V132"/>
    <mergeCell ref="P154:P155"/>
    <mergeCell ref="Q154:Q155"/>
    <mergeCell ref="R154:R155"/>
    <mergeCell ref="G154:G158"/>
    <mergeCell ref="K154:K157"/>
    <mergeCell ref="D127:D135"/>
    <mergeCell ref="E127:G127"/>
    <mergeCell ref="H127:R127"/>
    <mergeCell ref="D115:D123"/>
    <mergeCell ref="E115:G115"/>
    <mergeCell ref="H115:R115"/>
    <mergeCell ref="M154:M156"/>
    <mergeCell ref="H147:H148"/>
    <mergeCell ref="I147:I148"/>
    <mergeCell ref="J147:J148"/>
    <mergeCell ref="K147:K148"/>
    <mergeCell ref="AC115:AC120"/>
    <mergeCell ref="E116:G116"/>
    <mergeCell ref="H116:R116"/>
    <mergeCell ref="E117:G117"/>
    <mergeCell ref="E139:E142"/>
    <mergeCell ref="F139:F142"/>
    <mergeCell ref="G139:G142"/>
    <mergeCell ref="L139:M139"/>
    <mergeCell ref="S139:S142"/>
    <mergeCell ref="H140:H141"/>
    <mergeCell ref="I140:I141"/>
    <mergeCell ref="J140:J141"/>
    <mergeCell ref="K140:K141"/>
    <mergeCell ref="H117:R117"/>
    <mergeCell ref="E118:P118"/>
    <mergeCell ref="U118:U120"/>
    <mergeCell ref="V118:V120"/>
    <mergeCell ref="E121:P121"/>
    <mergeCell ref="AC127:AC132"/>
    <mergeCell ref="E128:G128"/>
    <mergeCell ref="L154:L156"/>
    <mergeCell ref="N194:N196"/>
    <mergeCell ref="E154:E158"/>
    <mergeCell ref="N154:N156"/>
    <mergeCell ref="J154:J157"/>
    <mergeCell ref="F154:F158"/>
    <mergeCell ref="E194:E198"/>
    <mergeCell ref="H154:H157"/>
    <mergeCell ref="G194:G198"/>
    <mergeCell ref="H160:H163"/>
    <mergeCell ref="I160:I163"/>
    <mergeCell ref="J160:J163"/>
    <mergeCell ref="K160:K163"/>
    <mergeCell ref="L160:L162"/>
    <mergeCell ref="M160:M162"/>
    <mergeCell ref="N160:N162"/>
    <mergeCell ref="F194:F198"/>
    <mergeCell ref="I194:I197"/>
    <mergeCell ref="M176:M178"/>
    <mergeCell ref="N176:N178"/>
    <mergeCell ref="H182:H185"/>
    <mergeCell ref="I182:I185"/>
    <mergeCell ref="J182:J185"/>
    <mergeCell ref="K182:K185"/>
    <mergeCell ref="L194:L196"/>
    <mergeCell ref="S160:S161"/>
    <mergeCell ref="L165:L167"/>
    <mergeCell ref="M165:M167"/>
    <mergeCell ref="N165:N167"/>
    <mergeCell ref="O165:O167"/>
    <mergeCell ref="S165:S166"/>
    <mergeCell ref="Q194:Q195"/>
    <mergeCell ref="R194:R195"/>
    <mergeCell ref="S194:S195"/>
    <mergeCell ref="P194:P195"/>
    <mergeCell ref="S169:S170"/>
    <mergeCell ref="L182:L184"/>
    <mergeCell ref="M182:M184"/>
    <mergeCell ref="N182:N184"/>
    <mergeCell ref="O182:O184"/>
    <mergeCell ref="P182:P183"/>
    <mergeCell ref="Q182:Q183"/>
    <mergeCell ref="R182:R183"/>
    <mergeCell ref="S182:S183"/>
    <mergeCell ref="S176:S177"/>
    <mergeCell ref="A13:A15"/>
    <mergeCell ref="D23:D25"/>
    <mergeCell ref="E23:E25"/>
    <mergeCell ref="F23:F25"/>
    <mergeCell ref="G23:G24"/>
    <mergeCell ref="H23:H24"/>
    <mergeCell ref="I23:I24"/>
    <mergeCell ref="J23:J24"/>
    <mergeCell ref="G29:G30"/>
    <mergeCell ref="H29:H30"/>
    <mergeCell ref="I29:I30"/>
    <mergeCell ref="J29:J30"/>
    <mergeCell ref="H128:R128"/>
    <mergeCell ref="E129:G129"/>
    <mergeCell ref="H129:R129"/>
    <mergeCell ref="E130:P130"/>
    <mergeCell ref="D194:D198"/>
    <mergeCell ref="I154:I157"/>
    <mergeCell ref="H194:H197"/>
    <mergeCell ref="J194:J197"/>
    <mergeCell ref="K194:K197"/>
    <mergeCell ref="M194:M196"/>
    <mergeCell ref="O194:O196"/>
    <mergeCell ref="P165:P166"/>
    <mergeCell ref="Q165:Q166"/>
    <mergeCell ref="R165:R166"/>
    <mergeCell ref="P169:P170"/>
    <mergeCell ref="Q169:Q170"/>
    <mergeCell ref="R169:R170"/>
    <mergeCell ref="P191:P192"/>
    <mergeCell ref="Q191:Q192"/>
    <mergeCell ref="R191:R192"/>
    <mergeCell ref="O160:O162"/>
    <mergeCell ref="P160:P161"/>
    <mergeCell ref="Q160:Q161"/>
    <mergeCell ref="R160:R161"/>
    <mergeCell ref="Y72:Y73"/>
    <mergeCell ref="S72:S73"/>
    <mergeCell ref="T72:T73"/>
    <mergeCell ref="M72:M73"/>
    <mergeCell ref="N72:N73"/>
    <mergeCell ref="O72:O73"/>
    <mergeCell ref="Q72:Q73"/>
    <mergeCell ref="R72:R73"/>
    <mergeCell ref="W72:W73"/>
    <mergeCell ref="X72:X73"/>
    <mergeCell ref="P72:P73"/>
    <mergeCell ref="AJ82:AJ86"/>
    <mergeCell ref="AK82:AK86"/>
    <mergeCell ref="I87:K87"/>
    <mergeCell ref="F82:F87"/>
    <mergeCell ref="AF82:AF86"/>
    <mergeCell ref="AG82:AG86"/>
    <mergeCell ref="AH82:AH86"/>
    <mergeCell ref="AI82:AI86"/>
    <mergeCell ref="S83:S85"/>
    <mergeCell ref="T83:T85"/>
    <mergeCell ref="U83:U85"/>
    <mergeCell ref="V83:V85"/>
    <mergeCell ref="W83:W85"/>
    <mergeCell ref="X83:X85"/>
    <mergeCell ref="Y83:Y85"/>
    <mergeCell ref="H82:H86"/>
    <mergeCell ref="I82:I86"/>
    <mergeCell ref="J82:J86"/>
    <mergeCell ref="K82:K86"/>
    <mergeCell ref="L82:L86"/>
    <mergeCell ref="M82:M86"/>
    <mergeCell ref="N83:N85"/>
    <mergeCell ref="O83:O85"/>
    <mergeCell ref="D176:D180"/>
    <mergeCell ref="E176:E180"/>
    <mergeCell ref="F176:F180"/>
    <mergeCell ref="G176:G180"/>
    <mergeCell ref="H176:H179"/>
    <mergeCell ref="I176:I179"/>
    <mergeCell ref="J176:J179"/>
    <mergeCell ref="K176:K179"/>
    <mergeCell ref="L176:L178"/>
    <mergeCell ref="R202:R205"/>
    <mergeCell ref="S202:S205"/>
    <mergeCell ref="U202:U204"/>
    <mergeCell ref="V202:V204"/>
    <mergeCell ref="X202:X204"/>
    <mergeCell ref="Y202:Y204"/>
    <mergeCell ref="AA202:AA203"/>
    <mergeCell ref="AB202:AB203"/>
    <mergeCell ref="D202:D207"/>
    <mergeCell ref="E202:E207"/>
    <mergeCell ref="F202:F207"/>
    <mergeCell ref="G202:G207"/>
    <mergeCell ref="I202:I206"/>
    <mergeCell ref="J202:J206"/>
    <mergeCell ref="L202:L206"/>
    <mergeCell ref="M202:M206"/>
    <mergeCell ref="O202:O205"/>
    <mergeCell ref="D209:D214"/>
    <mergeCell ref="E209:E214"/>
    <mergeCell ref="F209:F214"/>
    <mergeCell ref="G209:G214"/>
    <mergeCell ref="I209:I213"/>
    <mergeCell ref="J209:J213"/>
    <mergeCell ref="L209:L213"/>
    <mergeCell ref="M209:M213"/>
    <mergeCell ref="O209:O212"/>
    <mergeCell ref="AB209:AB210"/>
    <mergeCell ref="AD209:AD210"/>
    <mergeCell ref="AE209:AE210"/>
    <mergeCell ref="AH210:AI210"/>
    <mergeCell ref="AB211:AI211"/>
    <mergeCell ref="V212:AI212"/>
    <mergeCell ref="P213:AI213"/>
    <mergeCell ref="J214:AI214"/>
    <mergeCell ref="AD202:AD203"/>
    <mergeCell ref="AE202:AE203"/>
    <mergeCell ref="AH203:AI203"/>
    <mergeCell ref="AB204:AI204"/>
    <mergeCell ref="V205:AI205"/>
    <mergeCell ref="P206:AI206"/>
    <mergeCell ref="J207:AI207"/>
    <mergeCell ref="P209:P212"/>
    <mergeCell ref="R209:R212"/>
    <mergeCell ref="S209:S212"/>
    <mergeCell ref="U209:U211"/>
    <mergeCell ref="V209:V211"/>
    <mergeCell ref="X209:X211"/>
    <mergeCell ref="Y209:Y211"/>
    <mergeCell ref="AA209:AA210"/>
    <mergeCell ref="P202:P205"/>
    <mergeCell ref="V91:V93"/>
    <mergeCell ref="W91:W93"/>
    <mergeCell ref="X91:X93"/>
    <mergeCell ref="Y91:Y93"/>
    <mergeCell ref="H101:H105"/>
    <mergeCell ref="I101:I105"/>
    <mergeCell ref="J101:J105"/>
    <mergeCell ref="K101:K105"/>
    <mergeCell ref="L101:L105"/>
    <mergeCell ref="M101:M105"/>
    <mergeCell ref="AF101:AF105"/>
    <mergeCell ref="AG101:AG105"/>
    <mergeCell ref="AH101:AH105"/>
    <mergeCell ref="AI101:AI105"/>
    <mergeCell ref="AJ101:AJ105"/>
    <mergeCell ref="AK101:AK105"/>
    <mergeCell ref="N102:N104"/>
    <mergeCell ref="O102:O104"/>
    <mergeCell ref="P102:P104"/>
    <mergeCell ref="Q102:Q104"/>
    <mergeCell ref="R102:R104"/>
    <mergeCell ref="S102:S104"/>
    <mergeCell ref="T102:T104"/>
    <mergeCell ref="U102:U104"/>
    <mergeCell ref="V102:V104"/>
    <mergeCell ref="W102:W104"/>
    <mergeCell ref="X102:X104"/>
    <mergeCell ref="Y102:Y104"/>
    <mergeCell ref="W176:W177"/>
    <mergeCell ref="O176:O178"/>
    <mergeCell ref="P176:P177"/>
    <mergeCell ref="Q176:Q177"/>
    <mergeCell ref="R176:R177"/>
    <mergeCell ref="S191:S192"/>
    <mergeCell ref="W191:W192"/>
    <mergeCell ref="W182:W183"/>
    <mergeCell ref="L187:L189"/>
    <mergeCell ref="M187:M189"/>
    <mergeCell ref="N187:N189"/>
    <mergeCell ref="O187:O189"/>
    <mergeCell ref="P187:P188"/>
    <mergeCell ref="Q187:Q188"/>
    <mergeCell ref="R187:R188"/>
    <mergeCell ref="S187:S188"/>
    <mergeCell ref="W187:W188"/>
  </mergeCells>
  <dataValidations count="20">
    <dataValidation type="decimal" allowBlank="1" showErrorMessage="1" errorTitle="Ошибка" error="Допускается ввод только действительных чисел!" sqref="CY110:DJ110 BT110:CK110 O110:AB110">
      <formula1>-9.99999999999999E+23</formula1>
      <formula2>9.99999999999999E+23</formula2>
    </dataValidation>
    <dataValidation type="list" errorStyle="warning" allowBlank="1" showInputMessage="1" errorTitle="Ошибка" error="Выберите значение из списка" prompt="Выберите значение из списка или укажите свой вид твердых коммунальных отходов" sqref="AC202 AC209">
      <formula1>list_typeTKO</formula1>
    </dataValidation>
    <dataValidation allowBlank="1" showInputMessage="1" showErrorMessage="1" prompt="Территория действия тарифа выбирается из выпадающего списка. Доступные для выбора территории определяются на листе &quot;Территории&quot;. Для каждого вида тарифа должна указываться территория, содержащая только те МР/МО, где действует данный вид тарифа." sqref="N154:N156 N176:N178 N160:N162 N165:N167 N169:N170 N182:N184 N187:N189 N191:N192"/>
    <dataValidation type="list" allowBlank="1" showInputMessage="1" showErrorMessage="1" errorTitle="Ошибка" error="Выберите значение из списка" prompt="Выберите значение из списка" sqref="H110">
      <formula1>QRE_METHOD_LIST</formula1>
    </dataValidation>
    <dataValidation type="list" allowBlank="1" showInputMessage="1" showErrorMessage="1" errorTitle="Ошибка" error="Выберите значение из списка" prompt="Выберите значение из списка" sqref="J140:J141 J147:J148 J150">
      <formula1>kind_of_purchase_method</formula1>
    </dataValidation>
    <dataValidation allowBlank="1" showInputMessage="1" showErrorMessage="1" promptTitle="Ввод" prompt="Для выбора ИП необходимо два раза нажать левую кнопку мыши!" sqref="G72 G77"/>
    <dataValidation allowBlank="1" showInputMessage="1" showErrorMessage="1" prompt="Выберите один или несколько одновременно видов деятельности, выполнив последовательно по одному щелчку на строке с видом деятельности" sqref="F60"/>
    <dataValidation type="whole" allowBlank="1" showErrorMessage="1" errorTitle="Ошибка" error="Допускается ввод только неотрицательных целых чисел!" sqref="AF91:AF93 AI91:AI93 AF101:AF105 AI101:AI105 AF97 AI97 AF82:AF86 AI82:AI86 N60 P60 U60:V60 Y60:Z60 J60 R60:S60 AC60">
      <formula1>0</formula1>
      <formula2>9.99999999999999E+23</formula2>
    </dataValidation>
    <dataValidation type="list" allowBlank="1" showInputMessage="1" showErrorMessage="1" errorTitle="Ошибка" error="Выберите значение из списка" prompt="Выберите значение из списка" sqref="L60">
      <formula1>kind_of_power_te_unit</formula1>
    </dataValidation>
    <dataValidation allowBlank="1" showInputMessage="1" showErrorMessage="1" prompt="Изменение значения по двойному щелчоку левой кнопки мыши" sqref="J56"/>
    <dataValidation type="list" allowBlank="1" showInputMessage="1" showErrorMessage="1" sqref="I34">
      <formula1>DESCRIPTION_TERRITORY</formula1>
    </dataValidation>
    <dataValidation type="textLength" operator="lessThan" allowBlank="1" showInputMessage="1" showErrorMessage="1" error="Допускается ввод не более 900 символов!" sqref="M29 M23">
      <formula1>900</formula1>
    </dataValidation>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F39 I82:J85 K72 K77 I97:J97 I101:J104">
      <formula1>"a"</formula1>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H64 K56 F68">
      <formula1>900</formula1>
    </dataValidation>
    <dataValidation type="list" allowBlank="1" showInputMessage="1" showErrorMessage="1" errorTitle="Ошибка" error="Выберите значение из списка" prompt="Территория действия тарифа выбирается из выпадающего списка. Доступные для выбора территории определяются на листе &quot;Территории&quot;. Для каждого вида тарифа должна указываться территория, содержащая только те МР/МО, где действует данный вид тарифа." sqref="N194:N196">
      <formula1>DESCRIPTION_TERRITORY</formula1>
    </dataValidation>
    <dataValidation allowBlank="1" showInputMessage="1" showErrorMessage="1" prompt="Выберите виды деятельности, выполнив двойной щелчок левой кнопки мыши по ячейке." sqref="G165:G167 G172 G154:G158 G191:G192 G160:G163 G176:G180 G182:G185 G187:G189 G169:G170"/>
    <dataValidation type="decimal" allowBlank="1" showErrorMessage="1" errorTitle="Ошибка" error="Допускается ввод только неотрицательных чисел!" sqref="Q147 O147 O150 Q150 Q140 O140 AC84 AE84 AC92 AE92 AE97 AE103 AC103 AC97 T60 H60:I60 AB60 X60 K60 M60 O60 Q60">
      <formula1>0</formula1>
      <formula2>9.99999999999999E+23</formula2>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G64 T72 I72:J72 X72 T77 I77:J77 X77 F49"/>
    <dataValidation allowBlank="1" showInputMessage="1" showErrorMessage="1" prompt="Для выбора выполните двойной щелчок левой клавиши мыши по соответствующей ячейке." sqref="K194:K195 O194:O195 S154:S155 S194:S195 O154 K154 F165:F167 S176:S177 O176 K176 F172 K160 S160:S161 O160 F154:F158 K165 S165:S166 O165 O191 K169 S169:S170 O169 F160:F163 K182 S182:S183 O182 F176:F180 F182:F185 S187:S188 O187 F187:F189 F191:F192 S191:S192 F169:F170"/>
    <dataValidation type="textLength" operator="lessThanOrEqual" allowBlank="1" showInputMessage="1" showErrorMessage="1" errorTitle="Ошибка" error="Допускается ввод не более 900 символов!" sqref="L72:M72 E8 J194:J195 R194:R195 U72:W72 V194:W194 AB72 G13 M34 E39 E60 R191:R192 E64:F64 E68 G68 Q72:S72 M82 K82:K85 V154:W154 J154:J155 R154:R155 V176:W176 J176:J177 R176:R177 AI202 J202:J206 P202:P205 AI209 J209:J213 P209:P212 E4 L77:M77 U77:W77 AB77 Q77:S77 V172:W172 J172 R172 K91:K93 M101 K101:K104 K97 V160:W160 J160:J161 R160:R161 V165:W165 J165:J166 R165:R166 V169:W169 J169:J170 R169:R170 V182:W182 J182:J183 R182:R183 V187:W187 J187:J188 R187:R188 V191:W191 J191:J192 E43:F43 F48 F50:F51 I110">
      <formula1>900</formula1>
    </dataValidation>
  </dataValidations>
  <pageMargins left="0.75" right="0.75" top="1.00" bottom="1.00" header="0.50" footer="0.50"/>
  <pageSetup paperSize="9" pageOrder="downThenOver" orientation="portrait"/>
  <headerFooter>
    <oddHeader>&amp;L&amp;C&amp;R</oddHeader>
    <oddFooter>&amp;L&amp;C&amp;R</oddFooter>
    <evenHeader>&amp;L&amp;C&amp;R</evenHeader>
    <evenFooter>&amp;L&amp;C&amp;R</evenFooter>
  </headerFooter>
</worksheet>
</file>

<file path=xl/worksheets/sheet6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5D2F455B-75E8-9818-9058-00D681B42418}" mc:Ignorable="x14ac xr xr2 xr3">
  <sheetPr>
    <tabColor rgb="FFFFCC99"/>
  </sheetPr>
  <dimension ref="A1:H34"/>
  <sheetViews>
    <sheetView topLeftCell="A1" showGridLines="0" workbookViewId="0">
      <selection activeCell="A1" sqref="A1"/>
    </sheetView>
  </sheetViews>
  <sheetFormatPr defaultColWidth="43.140625" customHeight="1" defaultRowHeight="9"/>
  <cols>
    <col min="1" max="1" style="841" width="43.140625"/>
    <col min="2" max="2" style="841" width="43.140625" hidden="1"/>
    <col min="3" max="3" style="841" width="43.140625"/>
    <col min="4" max="5" style="841" width="36.421875" customWidth="1"/>
    <col min="6" max="8" style="982" width="36.421875" customWidth="1"/>
  </cols>
  <sheetData>
    <row customHeight="1" ht="9">
      <c r="A1" s="847" t="s">
        <v>1960</v>
      </c>
      <c r="B1" s="847"/>
      <c r="C1" s="983" t="s">
        <v>1961</v>
      </c>
      <c r="D1" s="981" t="s">
        <v>826</v>
      </c>
      <c r="E1" s="981" t="s">
        <v>872</v>
      </c>
      <c r="F1" s="981" t="s">
        <v>925</v>
      </c>
      <c r="G1" s="981" t="s">
        <v>912</v>
      </c>
      <c r="H1" s="981" t="s">
        <v>1633</v>
      </c>
    </row>
    <row customHeight="1" ht="9">
      <c r="A2" s="984" t="s">
        <v>1962</v>
      </c>
      <c r="B2" s="984"/>
      <c r="C2" s="985" t="str">
        <f>INDEX(TEMPLATE_NUMBER_FORM_LIST,MATCH(TEMPLATE_SPHERE,TEMPLATE_SPHERE_LIST,0))</f>
        <v>16</v>
      </c>
      <c r="D2" s="984" t="s">
        <v>1484</v>
      </c>
      <c r="E2" s="984" t="s">
        <v>157</v>
      </c>
      <c r="F2" s="986" t="s">
        <v>157</v>
      </c>
      <c r="G2" s="984" t="s">
        <v>157</v>
      </c>
      <c r="H2" s="987"/>
    </row>
    <row customHeight="1" ht="63">
      <c r="A3" s="847"/>
      <c r="B3" s="847" t="s">
        <v>118</v>
      </c>
      <c r="C3" s="985" t="str">
        <f>IF(TEMPLATE_SPHERE="HEAT",D3,IF(TEMPLATE_SPHERE="TKO",H3,E3))</f>
        <v>Форма 14. Информация о наличии (об отсутствии) технической возможности подключения (технологического присоединения) к системе теплоснабжения, а также о принятии и ходе рассмотрения заявок на заключение договора о подключении (технологическом присоединении) к системе теплоснабжения</v>
      </c>
      <c r="D3" s="985" t="s">
        <v>1963</v>
      </c>
      <c r="E3" s="985" t="str">
        <f>"Форма 8. Информация о наличии (об отсутствии) технической возможности подключения (технологического присоединения) к централизованной системе "&amp;TEMPLATE_SPHERE_RUS&amp;", а также о принятии и рассмотрении заявлений о заключении договоров о подключении (технологическом присоединении) к централизованной системе "&amp;TEMPLATE_SPHERE_RUS</f>
        <v>Форма 8. Информация о наличии (об отсутствии) технической возможности подключения (технологического присоединения) к централизованной системе теплоснабжения, а также о принятии и рассмотрении заявлений о заключении договоров о подключении (технологическом присоединении) к централизованной системе теплоснабжения</v>
      </c>
      <c r="F3" s="986"/>
      <c r="G3" s="987"/>
      <c r="H3" s="847"/>
    </row>
    <row customHeight="1" ht="243">
      <c r="A4" s="847" t="s">
        <v>1964</v>
      </c>
      <c r="B4" s="847" t="s">
        <v>103</v>
      </c>
      <c r="C4" s="985" t="str">
        <f>IF(TEMPLATE_SPHERE="HEAT",D4,IF(TEMPLATE_SPHERE="TKO",H4,E4))</f>
        <v>Форма 1. Информация о единых теплоснабжающих организациях в системе теплоснабжения, теплоснабжающих организациях, которым не присвоен статус единой теплоснабжающей организации, и теплосетевых организациях, функционирующих в поселениях и городских округах, не отнесенных к ценовым зонам теплоснабжения, и в поселениях и городских округах, отнесенных к ценовым зонам теплоснабжения в соответствии с Федеральным законом от 27 июля 2010 г. N 190-ФЗ "О теплоснабжении", до окончания переходного периода в ценовых зонах теплоснабжения (далее - регулируемые организации); о единых теплоснабжающих организациях, теплоснабжающих организациях, которым не присвоен статус единой теплоснабжающей организации, и теплосетевых организациях, функционирующих в поселениях и городских округах, отнесенных к ценовым зонам теплоснабжения в соответствии с Федеральным законом от 27 июля 2010 г. N 190-ФЗ "О теплоснабжении", после окончания переходного периода в ценовых зонах теплоснабжения (далее соответственно - единые теплоснабжающие организации в ценовых зонах теплоснабжения, теплоснабжающие организации в ценовых зонах теплоснабжения и теплосетевые организации в ценовых зонах теплоснабжения) (общая информация)</v>
      </c>
      <c r="D4" s="984" t="s">
        <v>1965</v>
      </c>
      <c r="E4" s="985" t="str">
        <f>"Форма 1. Информация об организации, осуществляющей "&amp;TEMPLATE_SPHERE_RUS_2&amp;" (общая информация)"</f>
        <v>Форма 1. Информация об организации, осуществляющей теплоснабжение (общая информация)</v>
      </c>
      <c r="F4" s="984"/>
      <c r="G4" s="984"/>
      <c r="H4" s="847" t="s">
        <v>1966</v>
      </c>
    </row>
    <row customHeight="1" ht="117">
      <c r="A5" s="847" t="s">
        <v>1967</v>
      </c>
      <c r="B5" s="847" t="s">
        <v>91</v>
      </c>
      <c r="C5" s="985" t="str">
        <f>IF(TEMPLATE_SPHERE="HEAT",D5,IF(TEMPLATE_SPHERE="TKO",H5,E5))</f>
        <v>Форма 15. Информация об условиях, на которых осуществляется поставка товаров (оказание услуг) в сфере теплоснабжения, цены (тарифы) на которые подлежат регулированию, и (или) условиях договоров о подключении (технологическом присоединении) к системе теплоснабжения, информация об условиях, на которых осуществляется поставка товаров (оказание услуг) по ценам, определяемым по соглашению сторон в соответствии с Федеральным законом от 27 июля 2010 г. N 190-ФЗ "О теплоснабжении", и (или) условиях договоров о подключении (технологическом присоединении) к системе теплоснабжения</v>
      </c>
      <c r="D5" s="847" t="s">
        <v>1968</v>
      </c>
      <c r="E5" s="850" t="str">
        <f>"Форма 9. Информация об условиях, на которых осуществляется поставка товаров (оказание услуг), тарифы на которые подлежат регулированию, и (или) условиях договоров о подключении (технологическом присоединении) к централизованной системе "&amp;TEMPLATE_SPHERE_RUS</f>
        <v>Форма 9. Информация об условиях, на которых осуществляется поставка товаров (оказание услуг), тарифы на которые подлежат регулированию, и (или) условиях договоров о подключении (технологическом присоединении) к централизованной системе теплоснабжения</v>
      </c>
      <c r="F5" s="987"/>
      <c r="G5" s="987"/>
      <c r="H5" s="847" t="s">
        <v>1969</v>
      </c>
    </row>
    <row customHeight="1" ht="90">
      <c r="A6" s="847" t="s">
        <v>1970</v>
      </c>
      <c r="B6" s="847" t="s">
        <v>92</v>
      </c>
      <c r="C6" s="985" t="str">
        <f>IF(TEMPLATE_SPHERE="HEAT",D6,E6)</f>
        <v>Форма 7. Информация об основных показателях финансово-хозяйственной деятельности регулируемой организации, включая структуру основных производственных затрат (в части регулируемых видов деятельности)</v>
      </c>
      <c r="D6" s="850" t="str">
        <f>IF(TITLE_TYPE_ORG="Регулируемая организация","Форма 7. Информация об основных показателях финансово-хозяйственной деятельности регулируемой организации, включая структуру основных производственных затрат (в части регулируемых видов деятельности)","Форма 8. Информация о товарах (об услугах), поставляемых (оказываемых) единой теплоснабжающей организацией в ценовых зонах теплоснабжения по регулируемым ценам (тарифам) "&amp;"в сфере теплоснабжения, информация о товарах (об услугах), поставляемых (оказываемых) теплоснабжающей организацией в ценовых"&amp;" зонах теплоснабжения и теплосетевой организацией в ценовых зонах теплоснабжения по регулируемым ценам (тарифам) в сфере теплоснабжения")</f>
        <v>Форма 7. Информация об основных показателях финансово-хозяйственной деятельности регулируемой организации, включая структуру основных производственных затрат (в части регулируемых видов деятельности)</v>
      </c>
      <c r="E6" s="850" t="str">
        <f>"Форма 4. Информация об основных показателях финансово-хозяйственной деятельности организации "&amp;TEMPLATE_SPHERE_RUS&amp;", включая структуру основных производственных затрат (в части регулируемых видов деятельности в сфере "&amp;TEMPLATE_SPHERE_RUS&amp;")"</f>
        <v>Форма 4. Информация об основных показателях финансово-хозяйственной деятельности организации теплоснабжения, включая структуру основных производственных затрат (в части регулируемых видов деятельности в сфере теплоснабжения)</v>
      </c>
      <c r="F6" s="847"/>
      <c r="G6" s="847"/>
      <c r="H6" s="987"/>
    </row>
    <row customHeight="1" ht="45">
      <c r="A7" s="847" t="s">
        <v>1971</v>
      </c>
      <c r="B7" s="847" t="s">
        <v>119</v>
      </c>
      <c r="C7" s="985" t="str">
        <f>IF(TEMPLATE_SPHERE="HEAT",D7,E7)</f>
        <v>Форма 11. Информация о расходах на капитальный и текущий ремонт основных средств</v>
      </c>
      <c r="D7" s="847" t="s">
        <v>1972</v>
      </c>
      <c r="E7" s="847" t="s">
        <v>1973</v>
      </c>
      <c r="F7" s="987"/>
      <c r="G7" s="987"/>
      <c r="H7" s="987"/>
    </row>
    <row customHeight="1" ht="108">
      <c r="A8" s="847" t="s">
        <v>1974</v>
      </c>
      <c r="B8" s="847" t="s">
        <v>93</v>
      </c>
      <c r="C8" s="985" t="str">
        <f>IF(TEMPLATE_SPHERE="HEAT",D8,E8)</f>
        <v>Форма 12. Информация об основных потребительских характеристиках товаров, услуг регулируемой организации, цены (тарифы) в сфере теплоснабжения на которые подлежат регулированию, об основных потребительских характеристиках товаров (услуг), поставляемых (оказываемых) единой теплоснабжающей организацией в ценовых зонах теплоснабжения, об основных потребительских характеристиках товаров (услуг), поставляемых (оказываемых) теплоснабжающей организацией в ценовых зонах теплоснабжения и теплосетевой организацией в ценовых зонах теплоснабжения</v>
      </c>
      <c r="D8" s="847" t="s">
        <v>1177</v>
      </c>
      <c r="E8" s="847" t="s">
        <v>1975</v>
      </c>
      <c r="F8" s="987"/>
      <c r="G8" s="987"/>
      <c r="H8" s="987"/>
    </row>
    <row customHeight="1" ht="99">
      <c r="A9" s="847" t="s">
        <v>1976</v>
      </c>
      <c r="B9" s="847"/>
      <c r="C9" s="847" t="s">
        <v>1977</v>
      </c>
      <c r="D9" s="847"/>
      <c r="E9" s="847"/>
      <c r="F9" s="987"/>
      <c r="G9" s="987"/>
      <c r="H9" s="987"/>
    </row>
    <row customHeight="1" ht="126">
      <c r="A10" s="847" t="s">
        <v>1978</v>
      </c>
      <c r="B10" s="847"/>
      <c r="C10" s="847" t="s">
        <v>1979</v>
      </c>
      <c r="D10" s="847"/>
      <c r="E10" s="847"/>
      <c r="F10" s="987"/>
      <c r="G10" s="987"/>
      <c r="H10" s="987"/>
    </row>
    <row customHeight="1" ht="108">
      <c r="A11" s="847" t="s">
        <v>1980</v>
      </c>
      <c r="B11" s="847"/>
      <c r="C11" s="847" t="s">
        <v>1981</v>
      </c>
      <c r="D11" s="847"/>
      <c r="E11" s="847"/>
      <c r="F11" s="987"/>
      <c r="G11" s="987"/>
      <c r="H11" s="987"/>
    </row>
    <row customHeight="1" ht="54">
      <c r="A12" s="847" t="s">
        <v>1982</v>
      </c>
      <c r="B12" s="847"/>
      <c r="C12" s="847" t="s">
        <v>1983</v>
      </c>
      <c r="D12" s="847"/>
      <c r="E12" s="847"/>
      <c r="F12" s="987"/>
      <c r="G12" s="987"/>
      <c r="H12" s="987"/>
    </row>
    <row customHeight="1" ht="45">
      <c r="A13" s="847" t="s">
        <v>1984</v>
      </c>
      <c r="B13" s="847"/>
      <c r="C13" s="847" t="s">
        <v>1985</v>
      </c>
      <c r="D13" s="847"/>
      <c r="E13" s="847"/>
      <c r="F13" s="987"/>
      <c r="G13" s="987"/>
      <c r="H13" s="987"/>
    </row>
    <row customHeight="1" ht="117">
      <c r="A14" s="847" t="s">
        <v>1986</v>
      </c>
      <c r="B14" s="847"/>
      <c r="C14" s="847" t="s">
        <v>1987</v>
      </c>
      <c r="D14" s="847"/>
      <c r="E14" s="847"/>
      <c r="F14" s="987"/>
      <c r="G14" s="987"/>
      <c r="H14" s="987"/>
    </row>
    <row customHeight="1" ht="117">
      <c r="A15" s="847" t="s">
        <v>1988</v>
      </c>
      <c r="B15" s="847"/>
      <c r="C15" s="847" t="s">
        <v>1989</v>
      </c>
      <c r="D15" s="847"/>
      <c r="E15" s="847"/>
      <c r="F15" s="987"/>
      <c r="G15" s="987"/>
      <c r="H15" s="987"/>
    </row>
    <row customHeight="1" ht="63">
      <c r="A16" s="847" t="s">
        <v>1990</v>
      </c>
      <c r="B16" s="847"/>
      <c r="C16" s="847" t="s">
        <v>1991</v>
      </c>
      <c r="D16" s="847"/>
      <c r="E16" s="847"/>
      <c r="F16" s="987"/>
      <c r="G16" s="987"/>
      <c r="H16" s="987"/>
    </row>
    <row customHeight="1" ht="54">
      <c r="A17" s="847" t="s">
        <v>1992</v>
      </c>
      <c r="B17" s="847"/>
      <c r="C17" s="985" t="s">
        <v>1993</v>
      </c>
      <c r="D17" s="847"/>
      <c r="E17" s="847"/>
      <c r="F17" s="987"/>
      <c r="G17" s="987"/>
      <c r="H17" s="987"/>
    </row>
    <row customHeight="1" ht="27">
      <c r="A18" s="847" t="s">
        <v>1994</v>
      </c>
      <c r="B18" s="847"/>
      <c r="C18" s="985" t="s">
        <v>1995</v>
      </c>
      <c r="D18" s="847"/>
      <c r="E18" s="847"/>
      <c r="F18" s="987"/>
      <c r="G18" s="987"/>
      <c r="H18" s="987"/>
    </row>
    <row customHeight="1" ht="54">
      <c r="A19" s="847" t="s">
        <v>1996</v>
      </c>
      <c r="B19" s="847"/>
      <c r="C19" s="985" t="s">
        <v>1997</v>
      </c>
      <c r="D19" s="847"/>
      <c r="E19" s="847"/>
      <c r="F19" s="987"/>
      <c r="G19" s="987"/>
      <c r="H19" s="987"/>
    </row>
    <row customHeight="1" ht="36">
      <c r="A20" s="847" t="s">
        <v>1998</v>
      </c>
      <c r="B20" s="847"/>
      <c r="C20" s="985" t="s">
        <v>1999</v>
      </c>
      <c r="D20" s="847"/>
      <c r="E20" s="847"/>
      <c r="F20" s="987"/>
      <c r="G20" s="987"/>
      <c r="H20" s="987"/>
    </row>
    <row customHeight="1" ht="36">
      <c r="A21" s="847" t="s">
        <v>2000</v>
      </c>
      <c r="B21" s="847"/>
      <c r="C21" s="985" t="s">
        <v>2001</v>
      </c>
      <c r="D21" s="847"/>
      <c r="E21" s="847"/>
      <c r="F21" s="987"/>
      <c r="G21" s="987"/>
      <c r="H21" s="987"/>
    </row>
    <row customHeight="1" ht="27">
      <c r="A22" s="847" t="s">
        <v>2002</v>
      </c>
      <c r="B22" s="847"/>
      <c r="C22" s="985" t="s">
        <v>2003</v>
      </c>
      <c r="D22" s="847"/>
      <c r="E22" s="847"/>
      <c r="F22" s="987"/>
      <c r="G22" s="987"/>
      <c r="H22" s="987"/>
    </row>
    <row customHeight="1" ht="36">
      <c r="A23" s="847" t="s">
        <v>2004</v>
      </c>
      <c r="B23" s="847"/>
      <c r="C23" s="985" t="s">
        <v>2005</v>
      </c>
      <c r="D23" s="847"/>
      <c r="E23" s="847"/>
      <c r="F23" s="987"/>
      <c r="G23" s="987"/>
      <c r="H23" s="987"/>
    </row>
    <row customHeight="1" ht="28.5">
      <c r="A24" s="847" t="s">
        <v>2006</v>
      </c>
      <c r="B24" s="847"/>
      <c r="C24" s="985" t="s">
        <v>2007</v>
      </c>
      <c r="D24" s="847"/>
      <c r="E24" s="847"/>
      <c r="F24" s="987"/>
      <c r="G24" s="987"/>
      <c r="H24" s="987"/>
    </row>
    <row customHeight="1" ht="36">
      <c r="A25" s="847" t="s">
        <v>2008</v>
      </c>
      <c r="B25" s="847"/>
      <c r="C25" s="985" t="s">
        <v>2009</v>
      </c>
      <c r="D25" s="847"/>
      <c r="E25" s="847"/>
      <c r="F25" s="987"/>
      <c r="G25" s="987"/>
      <c r="H25" s="987"/>
    </row>
    <row customHeight="1" ht="27">
      <c r="A26" s="847" t="s">
        <v>2010</v>
      </c>
      <c r="B26" s="847"/>
      <c r="C26" s="985" t="s">
        <v>2011</v>
      </c>
      <c r="D26" s="847"/>
      <c r="E26" s="847"/>
      <c r="F26" s="987"/>
      <c r="G26" s="987"/>
      <c r="H26" s="987"/>
    </row>
    <row customHeight="1" ht="36">
      <c r="A27" s="847" t="s">
        <v>2012</v>
      </c>
      <c r="B27" s="847"/>
      <c r="C27" s="985" t="s">
        <v>2013</v>
      </c>
      <c r="D27" s="847"/>
      <c r="E27" s="847"/>
      <c r="F27" s="987"/>
      <c r="G27" s="987"/>
      <c r="H27" s="987"/>
    </row>
    <row customHeight="1" ht="28.5">
      <c r="A28" s="847" t="s">
        <v>2014</v>
      </c>
      <c r="B28" s="847"/>
      <c r="C28" s="985" t="s">
        <v>2015</v>
      </c>
      <c r="D28" s="847"/>
      <c r="E28" s="847"/>
      <c r="F28" s="987"/>
      <c r="G28" s="987"/>
      <c r="H28" s="987"/>
    </row>
    <row customHeight="1" ht="126">
      <c r="A29" s="847" t="s">
        <v>2016</v>
      </c>
      <c r="B29" s="847" t="s">
        <v>1586</v>
      </c>
      <c r="C29" s="985" t="str">
        <f>IF(TEMPLATE_SPHERE="HEAT",D29,IF(TEMPLATE_SPHERE="TKO",H29,E29))</f>
        <v>Форма 17. Информация о способах приобретения, стоимости и об объемах товаров, необходимых регулируемой организации для производства товаров (оказания услуг) в сфере теплоснабжения, цены (тарифы) на которые подлежат регулированию, о способах приобретения, стоимости и об объемах товаров, необходимых для производства товаров и (или) оказания услуг единой теплоснабжающей организацией в ценовых зонах теплоснабжения, о способах приобретения, стоимости и об объемах товаров, необходимых для производства товаров и (или) оказания услуг теплоснабжающей организацией в ценовых зонах теплоснабжения и теплосетевой организацией в ценовых зонах теплоснабжения</v>
      </c>
      <c r="D29" s="847" t="s">
        <v>2017</v>
      </c>
      <c r="E29" s="850" t="str">
        <f>"Форма 11. Информация о способах приобретения, стоимости и об объемах товаров (работ, услуг), необходимых организации "&amp;TEMPLATE_SPHERE_RUS&amp;" для производства товаров (оказания услуг) в сфере "&amp;TEMPLATE_SPHERE_RUS&amp;", тарифы на которые подлежат регулированию"</f>
        <v>Форма 11. Информация о способах приобретения, стоимости и об объемах товаров (работ, услуг), необходимых организации теплоснабжения для производства товаров (оказания услуг) в сфере теплоснабжения, тарифы на которые подлежат регулированию</v>
      </c>
      <c r="F29" s="987"/>
      <c r="G29" s="987"/>
      <c r="H29" s="847" t="s">
        <v>2018</v>
      </c>
    </row>
    <row customHeight="1" ht="36">
      <c r="A30" s="847" t="s">
        <v>2019</v>
      </c>
      <c r="B30" s="847"/>
      <c r="C30" s="985" t="str">
        <f>IF(TEMPLATE_SPHERE="HEAT",D30,IF(TEMPLATE_SPHERE="TKO",H30,E30))</f>
        <v>Форма 16. Информация о порядке выполнения технологических, технических и других мероприятий, связанных с подключением (технологическим присоединением) к системе теплоснабжения</v>
      </c>
      <c r="D30" s="847" t="s">
        <v>2020</v>
      </c>
      <c r="E30" s="850" t="str">
        <f>"Форма 10. Информация о порядке выполнения технологических, технических и других мероприятий, связанных с подключением (технологическим присоединением) к централизованной системе "&amp;TEMPLATE_SPHERE_RUS</f>
        <v>Форма 10. Информация о порядке выполнения технологических, технических и других мероприятий, связанных с подключением (технологическим присоединением) к централизованной системе теплоснабжения</v>
      </c>
      <c r="F30" s="987"/>
      <c r="G30" s="987"/>
      <c r="H30" s="987"/>
    </row>
    <row customHeight="1" ht="54">
      <c r="A31" s="847" t="s">
        <v>2021</v>
      </c>
      <c r="B31" s="847"/>
      <c r="C31" s="985" t="str">
        <f>IF(TEMPLATE_SPHERE="HEAT",D31,IF(TEMPLATE_SPHERE="TKO",H31,E31))</f>
        <v>Форма 2. Общая информация об объектах теплоснабжения регулируемой организации, единой теплоснабжающей организации в ценовых зонах теплоснабжения, теплоснабжающей организации в ценовых зонах теплоснабжения и теплосетевой организации в ценовых зонах теплоснабжения</v>
      </c>
      <c r="D31" s="847" t="s">
        <v>2022</v>
      </c>
      <c r="E31" s="850" t="str">
        <f>"Форма 1. Информация об организации, осуществляющей "&amp;TEMPLATE_SPHERE_RUS_2&amp;" (общая информация)"</f>
        <v>Форма 1. Информация об организации, осуществляющей теплоснабжение (общая информация)</v>
      </c>
      <c r="F31" s="987"/>
      <c r="G31" s="987"/>
      <c r="H31" s="987"/>
    </row>
    <row customHeight="1" ht="198">
      <c r="A32" s="847" t="s">
        <v>2023</v>
      </c>
      <c r="B32" s="847"/>
      <c r="C32" s="985" t="str">
        <f>IF(TEMPLATE_SPHERE="HEAT",D32,IF(TEMPLATE_SPHERE="TKO",H32,E32))</f>
        <v>Форма 13. Информация об инвестиционных программах регулируемой организации и отчетах об их исполнении, об инвестиционных программах единой теплоснабжающей организации в ценовых зонах теплоснабжения, разрабатываемых и утверждаемых в отношении видов деятельности, при осуществлении которых расчеты за товары (услуги) в сфере теплоснабжения осуществляются по регулируемым ценам (тарифам) в сфере теплоснабжения (за исключением деятельности по подключению (технологическому присоединению) к системе теплоснабжения), об инвестиционных программах теплоснабжающей организации в ценовых зонах теплоснабжения и теплосетевой организации в ценовых зонах теплоснабжения, разрабатываемых и утверждаемых в отношении видов деятельности, при осуществлении которых расчеты за товары (услуги) в сфере теплоснабжения осуществляются по регулируемым ценам (тарифам) в сфере теплоснабжения (за исключением деятельности по подключению (технологическому присоединению) к системе теплоснабжения)</v>
      </c>
      <c r="D32" s="847" t="s">
        <v>2024</v>
      </c>
      <c r="E32" s="850" t="str">
        <f>"Форма 7. Информация об инвестиционных программах организации "&amp;TEMPLATE_SPHERE_RUS&amp;" и отчетах об их исполнении"</f>
        <v>Форма 7. Информация об инвестиционных программах организации теплоснабжения и отчетах об их исполнении</v>
      </c>
      <c r="F32" s="987"/>
      <c r="G32" s="987"/>
      <c r="H32" s="847" t="s">
        <v>2025</v>
      </c>
    </row>
    <row customHeight="1" ht="9">
      <c r="A33" s="847"/>
      <c r="B33" s="847"/>
      <c r="C33" s="985"/>
      <c r="D33" s="847"/>
      <c r="E33" s="847"/>
      <c r="F33" s="987"/>
      <c r="G33" s="987"/>
      <c r="H33" s="987"/>
    </row>
    <row customHeight="1" ht="9">
      <c r="A34" s="847"/>
      <c r="B34" s="847" t="s">
        <v>1522</v>
      </c>
      <c r="C34" s="985">
        <f>INDEX(TEMPLATE_NAME_FORM_LIST,B34,MATCH(TEMPLATE_SPHERE,TEMPLATE_SPHERE_LIST,0))</f>
        <v>0</v>
      </c>
      <c r="D34" s="847"/>
      <c r="E34" s="847"/>
      <c r="F34" s="987"/>
      <c r="G34" s="987"/>
      <c r="H34" s="987"/>
    </row>
  </sheetData>
  <sheetProtection sort="0" autoFilter="0" insertRows="0" insertColumns="1" deleteRows="0" deleteColumns="0"/>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63.xml><?xml version="1.0" encoding="utf-8"?>
<worksheet xmlns="http://schemas.openxmlformats.org/spreadsheetml/2006/main" xmlns:r="http://schemas.openxmlformats.org/officeDocument/2006/relationships" xmlns:mc="http://schemas.openxmlformats.org/markup-compatibility/2006" xmlns:xdr="http://schemas.openxmlformats.org/drawingml/2006/spreadsheetDrawing" xmlns:x14ac="http://schemas.microsoft.com/office/spreadsheetml/2009/9/ac" xmlns:xr="http://schemas.microsoft.com/office/spreadsheetml/2014/revision" xmlns:xr2="http://schemas.microsoft.com/office/spreadsheetml/2015/revision2" xmlns:xr3="http://schemas.microsoft.com/office/spreadsheetml/2016/revision3" xr:uid="{28395264-DC38-AF45-29C8-35BD2C49B458}" mc:Ignorable="x14ac xr xr2 xr3">
  <sheetPr>
    <tabColor rgb="FFFFCC99"/>
  </sheetPr>
  <dimension ref="A1:AY154"/>
  <sheetViews>
    <sheetView topLeftCell="A1" showGridLines="0" workbookViewId="0">
      <selection activeCell="A1" sqref="A1"/>
    </sheetView>
  </sheetViews>
  <sheetFormatPr defaultColWidth="9.140625" customHeight="1" defaultRowHeight="9"/>
  <cols>
    <col min="1" max="2" style="841" width="9.140625"/>
    <col min="3" max="7" style="843" width="8.00390625" customWidth="1"/>
    <col min="8" max="12" style="843" width="8.57421875" customWidth="1"/>
    <col min="13" max="14" style="843" width="27.7109375" customWidth="1"/>
    <col min="15" max="19" style="843" width="5.140625" customWidth="1"/>
    <col min="20" max="24" style="843" width="27.7109375" customWidth="1"/>
    <col min="25" max="25" style="1002" width="1.8515625" customWidth="1"/>
    <col min="26" max="26" style="841" width="27.7109375" customWidth="1"/>
    <col min="27" max="27" style="852" width="27.7109375" customWidth="1"/>
    <col min="28" max="29" style="841" width="27.7109375" customWidth="1"/>
    <col min="30" max="30" style="841" width="3.8515625" customWidth="1"/>
    <col min="31" max="34" style="841" width="9.140625"/>
  </cols>
  <sheetData>
    <row s="840" customFormat="1" customHeight="1" ht="18">
      <c r="A1" s="899"/>
      <c r="B1" s="899"/>
      <c r="C1" s="899" t="s">
        <v>2026</v>
      </c>
      <c r="D1" s="899"/>
      <c r="E1" s="899"/>
      <c r="F1" s="899"/>
      <c r="G1" s="899"/>
      <c r="H1" s="899" t="s">
        <v>2027</v>
      </c>
      <c r="I1" s="899"/>
      <c r="J1" s="899"/>
      <c r="K1" s="899"/>
      <c r="L1" s="899"/>
      <c r="M1" s="899" t="s">
        <v>2028</v>
      </c>
      <c r="N1" s="899" t="s">
        <v>2029</v>
      </c>
      <c r="O1" s="2593" t="s">
        <v>2030</v>
      </c>
      <c r="P1" s="2593"/>
      <c r="Q1" s="2593"/>
      <c r="R1" s="2593"/>
      <c r="S1" s="2593"/>
      <c r="T1" s="2593" t="s">
        <v>2028</v>
      </c>
      <c r="U1" s="2593"/>
      <c r="V1" s="2593"/>
      <c r="W1" s="2593"/>
      <c r="X1" s="2593"/>
      <c r="Y1" s="1000"/>
      <c r="Z1" s="2593" t="s">
        <v>2031</v>
      </c>
      <c r="AA1" s="2593"/>
      <c r="AB1" s="2593"/>
      <c r="AC1" s="2593"/>
      <c r="AD1" s="2593"/>
    </row>
    <row customHeight="1" ht="18">
      <c r="A2" s="847"/>
      <c r="B2" s="847"/>
      <c r="C2" s="842" t="s">
        <v>826</v>
      </c>
      <c r="D2" s="842" t="s">
        <v>872</v>
      </c>
      <c r="E2" s="842" t="s">
        <v>925</v>
      </c>
      <c r="F2" s="842" t="s">
        <v>912</v>
      </c>
      <c r="G2" s="842" t="s">
        <v>1633</v>
      </c>
      <c r="H2" s="844"/>
      <c r="I2" s="844"/>
      <c r="J2" s="844"/>
      <c r="K2" s="844"/>
      <c r="L2" s="844"/>
      <c r="M2" s="844"/>
      <c r="N2" s="844"/>
      <c r="O2" s="842" t="s">
        <v>826</v>
      </c>
      <c r="P2" s="842" t="s">
        <v>872</v>
      </c>
      <c r="Q2" s="842" t="s">
        <v>912</v>
      </c>
      <c r="R2" s="842" t="s">
        <v>925</v>
      </c>
      <c r="S2" s="842" t="s">
        <v>1633</v>
      </c>
      <c r="T2" s="842" t="s">
        <v>826</v>
      </c>
      <c r="U2" s="842" t="s">
        <v>872</v>
      </c>
      <c r="V2" s="842" t="s">
        <v>912</v>
      </c>
      <c r="W2" s="842" t="s">
        <v>925</v>
      </c>
      <c r="X2" s="842" t="s">
        <v>1633</v>
      </c>
      <c r="Y2" s="842"/>
      <c r="Z2" s="842" t="s">
        <v>826</v>
      </c>
      <c r="AA2" s="851" t="s">
        <v>872</v>
      </c>
      <c r="AB2" s="842" t="s">
        <v>912</v>
      </c>
      <c r="AC2" s="842" t="s">
        <v>925</v>
      </c>
      <c r="AD2" s="842" t="s">
        <v>1633</v>
      </c>
    </row>
    <row customHeight="1" ht="162">
      <c r="A3" s="846" t="s">
        <v>26</v>
      </c>
      <c r="B3" s="846"/>
      <c r="C3" s="2597" t="s">
        <v>2032</v>
      </c>
      <c r="D3" s="2598"/>
      <c r="E3" s="2598"/>
      <c r="F3" s="2599"/>
      <c r="G3" s="844"/>
      <c r="H3" s="844"/>
      <c r="I3" s="844"/>
      <c r="J3" s="844"/>
      <c r="K3" s="844"/>
      <c r="L3" s="844"/>
      <c r="M3" s="844"/>
      <c r="N3" s="845" t="str">
        <f>INDEX(TEMPLATE_ORG_DATA_POINT,1,MATCH(TEMPLATE_SPHERE,TEMPLATE_SPHERE_LIST_FOR_NOTE,0))</f>
        <v>В случае если регулируемыми организациями, единой теплоснабжающей организацией в ценовых зонах теплоснабжения, теплоснабжающей организацией в ценовых зонах теплоснабжения и теплосетевой организацией в ценовых зонах теплоснабжения оказываются услуги по теплоснабжению по нескольким технологически не связанным между собой централизованным системам теплоснабжения, и если в отношении указанных систем устанавливаются различные тарифы в сфере теплоснабжения, то информация раскрывается отдельно по каждой централизованной системе теплоснабжения.</v>
      </c>
      <c r="O3" s="844"/>
      <c r="P3" s="844"/>
      <c r="Q3" s="844"/>
      <c r="R3" s="844"/>
      <c r="S3" s="844"/>
      <c r="T3" s="844"/>
      <c r="U3" s="844"/>
      <c r="V3" s="844"/>
      <c r="W3" s="844"/>
      <c r="X3" s="844"/>
      <c r="Y3" s="1001"/>
      <c r="Z3" s="847" t="s">
        <v>2033</v>
      </c>
      <c r="AA3" s="844" t="s">
        <v>2034</v>
      </c>
      <c r="AB3" s="847" t="s">
        <v>2035</v>
      </c>
      <c r="AC3" s="847" t="s">
        <v>2036</v>
      </c>
      <c r="AD3" s="847"/>
      <c r="AG3" s="847"/>
      <c r="AH3" s="847"/>
    </row>
    <row customHeight="1" ht="9">
      <c r="A4" s="846"/>
      <c r="B4" s="846"/>
      <c r="C4" s="844"/>
      <c r="D4" s="844"/>
      <c r="E4" s="844"/>
      <c r="F4" s="844"/>
      <c r="G4" s="844"/>
      <c r="H4" s="844"/>
      <c r="I4" s="844"/>
      <c r="J4" s="844"/>
      <c r="K4" s="844"/>
      <c r="L4" s="844"/>
      <c r="M4" s="844"/>
      <c r="N4" s="844"/>
      <c r="O4" s="844"/>
      <c r="P4" s="844"/>
      <c r="Q4" s="844"/>
      <c r="R4" s="844"/>
      <c r="S4" s="844"/>
      <c r="T4" s="844"/>
      <c r="U4" s="844"/>
      <c r="V4" s="844"/>
      <c r="W4" s="844"/>
      <c r="X4" s="844"/>
      <c r="Y4" s="1001"/>
      <c r="Z4" s="847"/>
      <c r="AA4" s="850"/>
      <c r="AB4" s="847"/>
      <c r="AC4" s="847"/>
      <c r="AD4" s="847"/>
    </row>
    <row customHeight="1" ht="9">
      <c r="A5" s="846"/>
      <c r="B5" s="846"/>
      <c r="C5" s="844"/>
      <c r="D5" s="844"/>
      <c r="E5" s="844"/>
      <c r="F5" s="844"/>
      <c r="G5" s="844"/>
      <c r="H5" s="844"/>
      <c r="I5" s="844"/>
      <c r="J5" s="844"/>
      <c r="K5" s="844"/>
      <c r="L5" s="844"/>
      <c r="M5" s="844"/>
      <c r="N5" s="844"/>
      <c r="O5" s="844"/>
      <c r="P5" s="844"/>
      <c r="Q5" s="844"/>
      <c r="R5" s="844"/>
      <c r="S5" s="844"/>
      <c r="T5" s="844"/>
      <c r="U5" s="844"/>
      <c r="V5" s="844"/>
      <c r="W5" s="844"/>
      <c r="X5" s="844"/>
      <c r="Y5" s="1001"/>
      <c r="Z5" s="847"/>
      <c r="AA5" s="850"/>
      <c r="AB5" s="847"/>
      <c r="AC5" s="847"/>
      <c r="AD5" s="847"/>
    </row>
    <row customHeight="1" ht="9">
      <c r="A6" s="846"/>
      <c r="B6" s="846"/>
      <c r="C6" s="844"/>
      <c r="D6" s="844"/>
      <c r="E6" s="844"/>
      <c r="F6" s="844"/>
      <c r="G6" s="844"/>
      <c r="H6" s="844"/>
      <c r="I6" s="844"/>
      <c r="J6" s="844"/>
      <c r="K6" s="844"/>
      <c r="L6" s="844"/>
      <c r="M6" s="844"/>
      <c r="N6" s="844"/>
      <c r="O6" s="844"/>
      <c r="P6" s="844"/>
      <c r="Q6" s="844"/>
      <c r="R6" s="844"/>
      <c r="S6" s="844"/>
      <c r="T6" s="844"/>
      <c r="U6" s="844"/>
      <c r="V6" s="844"/>
      <c r="W6" s="844"/>
      <c r="X6" s="844"/>
      <c r="Y6" s="1001"/>
      <c r="Z6" s="847"/>
      <c r="AA6" s="850"/>
      <c r="AB6" s="847"/>
      <c r="AC6" s="847"/>
      <c r="AD6" s="847"/>
    </row>
    <row customHeight="1" ht="9">
      <c r="A7" s="846"/>
      <c r="B7" s="846"/>
      <c r="C7" s="844"/>
      <c r="D7" s="844"/>
      <c r="E7" s="844"/>
      <c r="F7" s="844"/>
      <c r="G7" s="844"/>
      <c r="H7" s="844"/>
      <c r="I7" s="844"/>
      <c r="J7" s="844"/>
      <c r="K7" s="844"/>
      <c r="L7" s="844"/>
      <c r="M7" s="844"/>
      <c r="N7" s="844"/>
      <c r="O7" s="844"/>
      <c r="P7" s="844"/>
      <c r="Q7" s="844"/>
      <c r="R7" s="844"/>
      <c r="S7" s="844"/>
      <c r="T7" s="844"/>
      <c r="U7" s="844"/>
      <c r="V7" s="844"/>
      <c r="W7" s="844"/>
      <c r="X7" s="844"/>
      <c r="Y7" s="1001"/>
      <c r="Z7" s="847"/>
      <c r="AA7" s="850"/>
      <c r="AB7" s="847"/>
      <c r="AC7" s="847"/>
      <c r="AD7" s="847"/>
    </row>
    <row customHeight="1" ht="9">
      <c r="A8" s="846"/>
      <c r="B8" s="846"/>
      <c r="C8" s="844"/>
      <c r="D8" s="844"/>
      <c r="E8" s="844"/>
      <c r="F8" s="844"/>
      <c r="G8" s="844"/>
      <c r="H8" s="844"/>
      <c r="I8" s="844"/>
      <c r="J8" s="844"/>
      <c r="K8" s="844"/>
      <c r="L8" s="844"/>
      <c r="M8" s="844"/>
      <c r="N8" s="844"/>
      <c r="O8" s="844"/>
      <c r="P8" s="844"/>
      <c r="Q8" s="844"/>
      <c r="R8" s="844"/>
      <c r="S8" s="844"/>
      <c r="T8" s="844"/>
      <c r="U8" s="844"/>
      <c r="V8" s="844"/>
      <c r="W8" s="844"/>
      <c r="X8" s="844"/>
      <c r="Y8" s="1001"/>
      <c r="Z8" s="847"/>
      <c r="AA8" s="850"/>
      <c r="AB8" s="847"/>
      <c r="AC8" s="847"/>
      <c r="AD8" s="847"/>
    </row>
    <row customHeight="1" ht="9">
      <c r="A9" s="846"/>
      <c r="B9" s="846"/>
      <c r="C9" s="844"/>
      <c r="D9" s="844"/>
      <c r="E9" s="844"/>
      <c r="F9" s="844"/>
      <c r="G9" s="844"/>
      <c r="H9" s="844"/>
      <c r="I9" s="844"/>
      <c r="J9" s="844"/>
      <c r="K9" s="844"/>
      <c r="L9" s="844"/>
      <c r="M9" s="844"/>
      <c r="N9" s="844"/>
      <c r="O9" s="844"/>
      <c r="P9" s="844"/>
      <c r="Q9" s="844"/>
      <c r="R9" s="844"/>
      <c r="S9" s="844"/>
      <c r="T9" s="844"/>
      <c r="U9" s="844"/>
      <c r="V9" s="844"/>
      <c r="W9" s="844"/>
      <c r="X9" s="844"/>
      <c r="Y9" s="1001"/>
      <c r="Z9" s="847"/>
      <c r="AA9" s="850"/>
      <c r="AB9" s="847"/>
      <c r="AC9" s="847"/>
      <c r="AD9" s="847"/>
    </row>
    <row customHeight="1" ht="9">
      <c r="A10" s="900"/>
      <c r="B10" s="900"/>
      <c r="C10" s="900"/>
      <c r="D10" s="900"/>
      <c r="E10" s="900"/>
      <c r="F10" s="900"/>
      <c r="G10" s="900"/>
      <c r="H10" s="900"/>
      <c r="I10" s="900"/>
      <c r="J10" s="900"/>
      <c r="K10" s="900"/>
      <c r="L10" s="900"/>
      <c r="M10" s="900"/>
      <c r="N10" s="900"/>
      <c r="O10" s="900"/>
      <c r="P10" s="900"/>
      <c r="Q10" s="900"/>
      <c r="R10" s="900"/>
      <c r="S10" s="900"/>
      <c r="T10" s="900"/>
      <c r="U10" s="900"/>
      <c r="V10" s="900"/>
      <c r="W10" s="900"/>
      <c r="X10" s="900"/>
      <c r="Y10" s="900"/>
      <c r="Z10" s="900"/>
      <c r="AA10" s="900"/>
      <c r="AB10" s="900"/>
      <c r="AC10" s="900"/>
      <c r="AD10" s="900"/>
    </row>
    <row customHeight="1" ht="45">
      <c r="A11" s="2594" t="s">
        <v>33</v>
      </c>
      <c r="B11" s="900">
        <v>1</v>
      </c>
      <c r="C11" s="2600" t="s">
        <v>1573</v>
      </c>
      <c r="D11" s="2600" t="s">
        <v>1569</v>
      </c>
      <c r="E11" s="2600" t="s">
        <v>1666</v>
      </c>
      <c r="F11" s="2600" t="s">
        <v>2037</v>
      </c>
      <c r="G11" s="2600"/>
      <c r="H11" s="899" t="s">
        <v>2038</v>
      </c>
      <c r="I11" s="899"/>
      <c r="J11" s="899"/>
      <c r="K11" s="899"/>
      <c r="L11" s="899"/>
      <c r="M11" s="845" t="str">
        <f>IF(TEMPLATE_SPHERE="HEAT",T11,U11)</f>
        <v>Количество поданных заявок</v>
      </c>
      <c r="N11" s="845" t="str">
        <f>IF(TEMPLATE_SPHERE="HEAT",Z11,AA11)</f>
        <v>Указывается количество поданных заявок на подключение (технологическое присоединение) к системе теплоснабжения в течение отчетного квартала.</v>
      </c>
      <c r="O11" s="844"/>
      <c r="P11" s="844"/>
      <c r="Q11" s="844"/>
      <c r="R11" s="844"/>
      <c r="S11" s="844"/>
      <c r="T11" s="844" t="s">
        <v>2039</v>
      </c>
      <c r="U11" s="844" t="s">
        <v>2040</v>
      </c>
      <c r="V11" s="844"/>
      <c r="W11" s="844"/>
      <c r="X11" s="844"/>
      <c r="Y11" s="1001"/>
      <c r="Z11" s="847" t="s">
        <v>2041</v>
      </c>
      <c r="AA11" s="850" t="str">
        <f>"Указывается количество поданных заявлений о заключении договоров о подключении (технологическом присоединении) к централизованной системе "&amp;TEMPLATE_SPHERE_RUS&amp;" в течение одного квартала."</f>
        <v>Указывается количество поданных заявлений о заключении договоров о подключении (технологическом присоединении) к централизованной системе теплоснабжения в течение одного квартала.</v>
      </c>
      <c r="AB11" s="847"/>
      <c r="AC11" s="847"/>
      <c r="AD11" s="847"/>
    </row>
    <row customHeight="1" ht="45">
      <c r="A12" s="2594"/>
      <c r="B12" s="900">
        <v>2</v>
      </c>
      <c r="C12" s="2601"/>
      <c r="D12" s="2601"/>
      <c r="E12" s="2601"/>
      <c r="F12" s="2601"/>
      <c r="G12" s="2601"/>
      <c r="H12" s="899" t="s">
        <v>2042</v>
      </c>
      <c r="I12" s="899"/>
      <c r="J12" s="899"/>
      <c r="K12" s="899"/>
      <c r="L12" s="899"/>
      <c r="M12" s="845" t="str">
        <f>IF(TEMPLATE_SPHERE="HEAT",T12,U12)</f>
        <v>Количество рассмотренных заявок</v>
      </c>
      <c r="N12" s="845" t="str">
        <f>IF(TEMPLATE_SPHERE="HEAT",Z12,AA12)</f>
        <v>Указывается количество исполненных заявок на подключение (технологическое присоединение) к системе теплоснабжения в течение отчетного квартала.</v>
      </c>
      <c r="O12" s="844"/>
      <c r="P12" s="844"/>
      <c r="Q12" s="844"/>
      <c r="R12" s="844"/>
      <c r="S12" s="844"/>
      <c r="T12" s="844" t="s">
        <v>2043</v>
      </c>
      <c r="U12" s="844" t="s">
        <v>2044</v>
      </c>
      <c r="V12" s="844"/>
      <c r="W12" s="844"/>
      <c r="X12" s="844"/>
      <c r="Y12" s="1001"/>
      <c r="Z12" s="847" t="s">
        <v>2045</v>
      </c>
      <c r="AA12" s="850" t="str">
        <f>"Указывается количество исполненных заявлений о заключении договоров о подключении (технологическом присоединении) к централизованной системе "&amp;TEMPLATE_SPHERE_RUS&amp;" в течение одного квартала."</f>
        <v>Указывается количество исполненных заявлений о заключении договоров о подключении (технологическом присоединении) к централизованной системе теплоснабжения в течение одного квартала.</v>
      </c>
      <c r="AB12" s="847"/>
      <c r="AC12" s="847"/>
      <c r="AD12" s="847"/>
    </row>
    <row customHeight="1" ht="72">
      <c r="A13" s="2594"/>
      <c r="B13" s="900">
        <v>3</v>
      </c>
      <c r="C13" s="2601"/>
      <c r="D13" s="2601"/>
      <c r="E13" s="2601"/>
      <c r="F13" s="2601"/>
      <c r="G13" s="2601"/>
      <c r="H13" s="2593" t="s">
        <v>2046</v>
      </c>
      <c r="I13" s="899"/>
      <c r="J13" s="899"/>
      <c r="K13" s="899"/>
      <c r="L13" s="899"/>
      <c r="M13" s="845" t="str">
        <f>IF(TEMPLATE_SPHERE="HEAT",T13,U13)</f>
        <v>Количество заявок на заключение договора о подключении (технологическом присоединении) к системе теплоснабжения, по которым регулируемой организацией отказано в заключении договора о подключении (технологическом присоединении) к системе теплоснабжения</v>
      </c>
      <c r="N13" s="845" t="str">
        <f>IF(TEMPLATE_SPHERE="HEAT",Z13,AA13)</f>
        <v>Указывается количество заявок с решением об отказе в течение отчетного квартала.</v>
      </c>
      <c r="O13" s="844"/>
      <c r="P13" s="845"/>
      <c r="Q13" s="845"/>
      <c r="R13" s="845"/>
      <c r="S13" s="844"/>
      <c r="T13" s="844" t="s">
        <v>2047</v>
      </c>
      <c r="U13" s="845" t="s">
        <v>2048</v>
      </c>
      <c r="V13" s="845"/>
      <c r="W13" s="845"/>
      <c r="X13" s="844"/>
      <c r="Y13" s="1001"/>
      <c r="Z13" s="847" t="s">
        <v>2049</v>
      </c>
      <c r="AA13" s="850" t="str">
        <f>"Указывается количество заявлений о заключении договоров о подключении (технологическом присоединении) к централизованной системе "&amp;TEMPLATE_SPHERE_RUS&amp;", по которым организацией "&amp;TEMPLATE_SPHERE_RUS&amp;" отказано в заключении договора о подключении (технологическом присоединении) к централизованной системе "&amp;TEMPLATE_SPHERE_RUS&amp;" с указанием причин, в течение одного квартала."</f>
        <v>Указывается количество заявлений о заключении договоров о подключении (технологическом присоединении) к централизованной системе теплоснабжения, по которым организацией теплоснабжения отказано в заключении договора о подключении (технологическом присоединении) к централизованной системе теплоснабжения с указанием причин, в течение одного квартала.</v>
      </c>
      <c r="AB13" s="847"/>
      <c r="AC13" s="847"/>
      <c r="AD13" s="847"/>
    </row>
    <row customHeight="1" ht="45">
      <c r="A14" s="2594"/>
      <c r="B14" s="900">
        <v>4</v>
      </c>
      <c r="C14" s="2601"/>
      <c r="D14" s="2601"/>
      <c r="E14" s="2601"/>
      <c r="F14" s="2601"/>
      <c r="G14" s="2601"/>
      <c r="H14" s="2593"/>
      <c r="I14" s="902"/>
      <c r="J14" s="902"/>
      <c r="K14" s="902"/>
      <c r="L14" s="902"/>
      <c r="M14" s="848" t="str">
        <f>IF(TEMPLATE_SPHERE="HEAT",T14,U14)</f>
        <v>Причины отказа в заключении договора о подключении (технологическом присоединении) к системе теплоснабжения</v>
      </c>
      <c r="N14" s="845" t="str">
        <f>IF(TEMPLATE_SPHERE="HEAT",Z14,AA14)</f>
        <v>Указывается текстовое описание причин принятия решений.
Не заполняется в случае, если решения об отказе в течение отчетного периода не принимались.</v>
      </c>
      <c r="O14" s="844"/>
      <c r="P14" s="845"/>
      <c r="Q14" s="845"/>
      <c r="R14" s="845"/>
      <c r="S14" s="844"/>
      <c r="T14" s="844" t="s">
        <v>2050</v>
      </c>
      <c r="U14" s="845" t="str">
        <f>"Причины отказа в заключении договора о подключении (технологическом присоединении) к централизованной системе "&amp;TEMPLATE_SPHERE_RUS</f>
        <v>Причины отказа в заключении договора о подключении (технологическом присоединении) к централизованной системе теплоснабжения</v>
      </c>
      <c r="V14" s="845"/>
      <c r="W14" s="845"/>
      <c r="X14" s="844"/>
      <c r="Y14" s="1001"/>
      <c r="Z14" s="847" t="s">
        <v>2051</v>
      </c>
      <c r="AA14" s="850" t="s">
        <v>2051</v>
      </c>
      <c r="AB14" s="847"/>
      <c r="AC14" s="847"/>
      <c r="AD14" s="847"/>
    </row>
    <row customHeight="1" ht="108">
      <c r="A15" s="2594"/>
      <c r="B15" s="900">
        <v>5</v>
      </c>
      <c r="C15" s="2601"/>
      <c r="D15" s="2601"/>
      <c r="E15" s="2601"/>
      <c r="F15" s="2601"/>
      <c r="G15" s="2601"/>
      <c r="H15" s="2595" t="s">
        <v>2052</v>
      </c>
      <c r="I15" s="901"/>
      <c r="J15" s="901"/>
      <c r="K15" s="901"/>
      <c r="L15" s="901"/>
      <c r="M15" s="850" t="str">
        <f>IF(TEMPLATE_SPHERE="HEAT",T15,U15)</f>
        <v>Резерв мощности источников тепловой энергии, входящих в систему теплоснабжения, в течение одного квартала, в том числе:</v>
      </c>
      <c r="N15" s="849" t="str">
        <f>IF(TEMPLATE_SPHERE="HEAT",Z15,AA15)</f>
        <v>Указывается резерв мощности для системы теплоснабжения, тариф для которой не является отличным от тарифов других систем теплоснабжения регулируемой организации.
При использовании регулируемой организацией нескольких систем теплоснабжения информация о резерве мощности источников тепловой энергии таких систем раскрывается в отношении каждой системы теплоснабжения в отдельных строках. </v>
      </c>
      <c r="O15" s="844"/>
      <c r="P15" s="845"/>
      <c r="Q15" s="845"/>
      <c r="R15" s="845"/>
      <c r="S15" s="844"/>
      <c r="T15" s="844" t="s">
        <v>2053</v>
      </c>
      <c r="U15" s="845" t="str">
        <f>"Наличие свободной мощности (резерва мощности) на соответствующих объектах централизованных систем "&amp;TEMPLATE_SPHERE_RUS&amp;" в течение одного квартала, в том числе:"</f>
        <v>Наличие свободной мощности (резерва мощности) на соответствующих объектах централизованных систем теплоснабжения в течение одного квартала, в том числе:</v>
      </c>
      <c r="V15" s="845"/>
      <c r="W15" s="845"/>
      <c r="X15" s="844"/>
      <c r="Y15" s="1001"/>
      <c r="Z15" s="847" t="s">
        <v>2054</v>
      </c>
      <c r="AA15" s="850" t="str">
        <f>"Указывается наличие свободной мощности (резерв мощности) на соответствующих объектах централизованной системы "&amp;TEMPLATE_SPHERE_RUS&amp;" (совокупности централизованных систем "&amp;TEMPLATE_SPHERE_RUS&amp;") в случае, если для них установлены одинаковые тарифы в сфере "&amp;TEMPLATE_SPHERE_RUS&amp;".
В случае если регулируемыми организациями оказываются услуги "&amp;TEMPLATE_SPHERE_RUS&amp;" по нескольким технологически не связанным между собой централизованным системам "&amp;TEMPLATE_SPHERE_RUS&amp;", и если в отношении указанных систем устанавливаются различные тарифы в сфере "&amp;TEMPLATE_SPHERE_RUS&amp;", то информация раскрывается отдельно по каждой централизованной системе "&amp;TEMPLATE_SPHERE_RUS&amp;"."</f>
        <v>Указывается наличие свободной мощности (резерв мощности) на соответствующих объектах централизованной системы теплоснабжения (совокупности централизованных систем теплоснабжения) в случае, если для них установлены одинаковые тарифы в сфере теплоснабжения.
В случае если регулируемыми организациями оказываются услуги теплоснабжения по нескольким технологически не связанным между собой централизованным системам теплоснабжения, и если в отношении указанных систем устанавливаются различные тарифы в сфере теплоснабжения, то информация раскрывается отдельно по каждой централизованной системе теплоснабжения.</v>
      </c>
      <c r="AB15" s="847"/>
      <c r="AC15" s="847"/>
      <c r="AD15" s="847"/>
    </row>
    <row customHeight="1" ht="108">
      <c r="A16" s="900"/>
      <c r="B16" s="900">
        <v>6</v>
      </c>
      <c r="C16" s="2602"/>
      <c r="D16" s="2602"/>
      <c r="E16" s="2602"/>
      <c r="F16" s="2602"/>
      <c r="G16" s="2602"/>
      <c r="H16" s="2596"/>
      <c r="I16" s="963"/>
      <c r="J16" s="963"/>
      <c r="K16" s="963"/>
      <c r="L16" s="963"/>
      <c r="M16" s="893"/>
      <c r="N16" s="849" t="str">
        <f>IF(TEMPLATE_SPHERE="HEAT",Z16,AA16)</f>
        <v>Указывается резерв мощности для системы теплоснабжения, тариф для которой не является отличным от тарифов других систем теплоснабжения регулируемой организации.
При использовании регулируемой организацией нескольких систем теплоснабжения информация о резерве мощности источников тепловой энергии таких систем раскрывается в отношении каждой системы теплоснабжения в отдельных строках. </v>
      </c>
      <c r="O16" s="844"/>
      <c r="P16" s="845"/>
      <c r="Q16" s="845"/>
      <c r="R16" s="845"/>
      <c r="S16" s="844"/>
      <c r="T16" s="844"/>
      <c r="U16" s="845"/>
      <c r="V16" s="845"/>
      <c r="W16" s="845"/>
      <c r="X16" s="844"/>
      <c r="Y16" s="1001"/>
      <c r="Z16" s="847" t="s">
        <v>2054</v>
      </c>
      <c r="AA16" s="850" t="str">
        <f>"Указывается наличие свободной мощности (резерв мощности) для централизованной системы "&amp;TEMPLATE_SPHERE_RUS&amp;", тариф для которой не является отличным от тарифов других централизованных систем "&amp;TEMPLATE_SPHERE_RUS&amp;" регулируемой организации.
При использовании регулируемой организацией нескольких централизованных систем "&amp;TEMPLATE_SPHERE_RUS&amp;" информация о наличии свободной мощности (резерве мощности) на соответствующих объектах централизованных систем "&amp;TEMPLATE_SPHERE_RUS&amp;" публикуется в отношении каждой централизованной системы "&amp;TEMPLATE_SPHERE_RUS&amp;" в отдельных строках."</f>
        <v>Указывается наличие свободной мощности (резерв мощности) для централизованной системы теплоснабжения, тариф для которой не является отличным от тарифов других централизованных систем теплоснабжения регулируемой организации.
При использовании регулируемой организацией нескольких централизованных систем теплоснабжения информация о наличии свободной мощности (резерве мощности) на соответствующих объектах централизованных систем теплоснабжения публикуется в отношении каждой централизованной системы теплоснабжения в отдельных строках.</v>
      </c>
      <c r="AB16" s="847"/>
      <c r="AC16" s="847"/>
      <c r="AD16" s="847"/>
    </row>
    <row customHeight="1" ht="9">
      <c r="A17" s="900"/>
      <c r="B17" s="900"/>
      <c r="C17" s="900">
        <v>22</v>
      </c>
      <c r="D17" s="900">
        <v>21</v>
      </c>
      <c r="E17" s="900">
        <v>42</v>
      </c>
      <c r="F17" s="900">
        <v>63</v>
      </c>
      <c r="G17" s="900"/>
      <c r="H17" s="900"/>
      <c r="I17" s="900"/>
      <c r="J17" s="900"/>
      <c r="K17" s="900"/>
      <c r="L17" s="900"/>
      <c r="M17" s="900"/>
      <c r="N17" s="900"/>
      <c r="O17" s="900"/>
      <c r="P17" s="900"/>
      <c r="Q17" s="900"/>
      <c r="R17" s="900"/>
      <c r="S17" s="900"/>
      <c r="T17" s="900"/>
      <c r="U17" s="900"/>
      <c r="V17" s="900"/>
      <c r="W17" s="900"/>
      <c r="X17" s="900"/>
      <c r="Y17" s="900"/>
      <c r="Z17" s="900"/>
      <c r="AA17" s="900"/>
      <c r="AB17" s="900"/>
      <c r="AC17" s="900"/>
      <c r="AD17" s="900"/>
    </row>
    <row customHeight="1" ht="27">
      <c r="A18" s="846" t="s">
        <v>1669</v>
      </c>
      <c r="B18" s="900">
        <v>1</v>
      </c>
      <c r="C18" s="844" t="s">
        <v>2038</v>
      </c>
      <c r="D18" s="968" t="s">
        <v>2038</v>
      </c>
      <c r="E18" s="844" t="s">
        <v>2038</v>
      </c>
      <c r="F18" s="844" t="s">
        <v>2038</v>
      </c>
      <c r="G18" s="844"/>
      <c r="H18" s="1003"/>
      <c r="I18" s="1006">
        <f>INDEX(TEMPLATE_NUMBER_POINT_FHD,B18,MATCH(TEMPLATE_SPHERE,TEMPLATE_SPHERE_LIST_FOR_NOTE,0))</f>
        <v>1</v>
      </c>
      <c r="J18" s="1006" t="str">
        <f>INDEX(TEMPLATE_DATA_POINT_FHD,B18,MATCH(TEMPLATE_SPHERE,TEMPLATE_SPHERE_LIST_FOR_NOTE,0))</f>
        <v>Выручка от регулируемого вида деятельности с распределением по видам деятельности</v>
      </c>
      <c r="K18" s="1006" t="str">
        <f>INDEX(TEMPLATE_NOTE_POINT_FHD,B18,MATCH(TEMPLATE_SPHERE,TEMPLATE_SPHERE_LIST_FOR_NOTE,0))</f>
        <v>Указывается выручка от регулируемого вида деятельности с распределением по видам деятельности.</v>
      </c>
      <c r="L18" s="845">
        <f>IF(I18=0,"",I18)</f>
        <v>1</v>
      </c>
      <c r="M18" s="845" t="str">
        <f>IF(J18=0,"",J18)</f>
        <v>Выручка от регулируемого вида деятельности с распределением по видам деятельности</v>
      </c>
      <c r="N18" s="845" t="str">
        <f>IF(K18=0,"",K18)</f>
        <v>Указывается выручка от регулируемого вида деятельности с распределением по видам деятельности.</v>
      </c>
      <c r="O18" s="958">
        <v>1</v>
      </c>
      <c r="P18" s="958">
        <v>1</v>
      </c>
      <c r="Q18" s="958">
        <v>1</v>
      </c>
      <c r="R18" s="958">
        <v>1</v>
      </c>
      <c r="S18" s="958"/>
      <c r="T18" s="965" t="s">
        <v>2055</v>
      </c>
      <c r="U18" s="847" t="s">
        <v>2056</v>
      </c>
      <c r="V18" s="847" t="s">
        <v>2057</v>
      </c>
      <c r="W18" s="847" t="s">
        <v>2058</v>
      </c>
      <c r="X18" s="844"/>
      <c r="Y18" s="1001"/>
      <c r="Z18" s="847" t="s">
        <v>2059</v>
      </c>
      <c r="AA18" s="850" t="s">
        <v>2060</v>
      </c>
      <c r="AB18" s="850" t="s">
        <v>2060</v>
      </c>
      <c r="AC18" s="850" t="s">
        <v>2060</v>
      </c>
      <c r="AD18" s="847"/>
    </row>
    <row customHeight="1" ht="36">
      <c r="A19" s="846"/>
      <c r="B19" s="900">
        <v>2</v>
      </c>
      <c r="C19" s="844" t="s">
        <v>2042</v>
      </c>
      <c r="D19" s="968" t="s">
        <v>2042</v>
      </c>
      <c r="E19" s="844" t="s">
        <v>2042</v>
      </c>
      <c r="F19" s="844" t="s">
        <v>2042</v>
      </c>
      <c r="G19" s="844"/>
      <c r="H19" s="1003"/>
      <c r="I19" s="1006">
        <f>INDEX(TEMPLATE_NUMBER_POINT_FHD,B19,MATCH(TEMPLATE_SPHERE,TEMPLATE_SPHERE_LIST_FOR_NOTE,0))</f>
        <v>2</v>
      </c>
      <c r="J19" s="1006" t="str">
        <f>INDEX(TEMPLATE_DATA_POINT_FHD,B19,MATCH(TEMPLATE_SPHERE,TEMPLATE_SPHERE_LIST_FOR_NOTE,0))</f>
        <v>Себестоимость производимых товаров (оказываемых услуг) по регулируемому виду деятельности, включая:</v>
      </c>
      <c r="K19" s="1006" t="str">
        <f>INDEX(TEMPLATE_NOTE_POINT_FHD,B19,MATCH(TEMPLATE_SPHERE,TEMPLATE_SPHERE_LIST_FOR_NOTE,0))</f>
        <v>Указывается суммарная себестоимость производимых товаров.</v>
      </c>
      <c r="L19" s="845">
        <f>IF(I19=0,"",I19)</f>
        <v>2</v>
      </c>
      <c r="M19" s="845" t="str">
        <f>IF(J19=0,"",J19)</f>
        <v>Себестоимость производимых товаров (оказываемых услуг) по регулируемому виду деятельности, включая:</v>
      </c>
      <c r="N19" s="845" t="str">
        <f>IF(K19=0,"",K19)</f>
        <v>Указывается суммарная себестоимость производимых товаров.</v>
      </c>
      <c r="O19" s="958">
        <v>2</v>
      </c>
      <c r="P19" s="958">
        <v>2</v>
      </c>
      <c r="Q19" s="958">
        <v>2</v>
      </c>
      <c r="R19" s="958">
        <v>2</v>
      </c>
      <c r="S19" s="958"/>
      <c r="T19" s="965" t="s">
        <v>2061</v>
      </c>
      <c r="U19" s="847" t="s">
        <v>2062</v>
      </c>
      <c r="V19" s="847" t="s">
        <v>2063</v>
      </c>
      <c r="W19" s="847" t="s">
        <v>2064</v>
      </c>
      <c r="X19" s="844"/>
      <c r="Y19" s="1001"/>
      <c r="Z19" s="847" t="s">
        <v>2065</v>
      </c>
      <c r="AA19" s="850" t="s">
        <v>2065</v>
      </c>
      <c r="AB19" s="850" t="s">
        <v>2065</v>
      </c>
      <c r="AC19" s="850" t="s">
        <v>2065</v>
      </c>
      <c r="AD19" s="847"/>
    </row>
    <row customHeight="1" ht="27">
      <c r="A20" s="846"/>
      <c r="B20" s="900">
        <v>3</v>
      </c>
      <c r="C20" s="844">
        <v>1</v>
      </c>
      <c r="D20" s="968"/>
      <c r="E20" s="844"/>
      <c r="F20" s="844"/>
      <c r="G20" s="844"/>
      <c r="H20" s="1003"/>
      <c r="I20" s="1006" t="str">
        <f>INDEX(TEMPLATE_NUMBER_POINT_FHD,B20,MATCH(TEMPLATE_SPHERE,TEMPLATE_SPHERE_LIST_FOR_NOTE,0))</f>
        <v>2.1</v>
      </c>
      <c r="J20" s="1006" t="str">
        <f>INDEX(TEMPLATE_DATA_POINT_FHD,B20,MATCH(TEMPLATE_SPHERE,TEMPLATE_SPHERE_LIST_FOR_NOTE,0))</f>
        <v>Расходы на приобретаемую тепловую энергию (мощность), теплоноситель</v>
      </c>
      <c r="K20" s="1006">
        <f>INDEX(TEMPLATE_NOTE_POINT_FHD,B20,MATCH(TEMPLATE_SPHERE,TEMPLATE_SPHERE_LIST_FOR_NOTE,0))</f>
        <v>0</v>
      </c>
      <c r="L20" s="845" t="str">
        <f>IF(I20=0,"",I20)</f>
        <v>2.1</v>
      </c>
      <c r="M20" s="845" t="str">
        <f>IF(J20=0,"",J20)</f>
        <v>Расходы на приобретаемую тепловую энергию (мощность), теплоноситель</v>
      </c>
      <c r="N20" s="845" t="str">
        <f>IF(K20=0,"",K20)</f>
        <v/>
      </c>
      <c r="O20" s="958" t="s">
        <v>727</v>
      </c>
      <c r="P20" s="958" t="s">
        <v>727</v>
      </c>
      <c r="Q20" s="958" t="s">
        <v>727</v>
      </c>
      <c r="R20" s="958" t="s">
        <v>727</v>
      </c>
      <c r="S20" s="958"/>
      <c r="T20" s="965" t="s">
        <v>2066</v>
      </c>
      <c r="U20" s="847" t="s">
        <v>2067</v>
      </c>
      <c r="V20" s="847" t="s">
        <v>2068</v>
      </c>
      <c r="W20" s="847" t="s">
        <v>2069</v>
      </c>
      <c r="X20" s="844"/>
      <c r="Y20" s="1001"/>
      <c r="Z20" s="847"/>
      <c r="AA20" s="850"/>
      <c r="AB20" s="847"/>
      <c r="AC20" s="847"/>
      <c r="AD20" s="847"/>
    </row>
    <row customHeight="1" ht="36">
      <c r="A21" s="846"/>
      <c r="B21" s="900">
        <v>4</v>
      </c>
      <c r="C21" s="844">
        <v>2</v>
      </c>
      <c r="D21" s="968"/>
      <c r="E21" s="844"/>
      <c r="F21" s="844"/>
      <c r="G21" s="844"/>
      <c r="H21" s="1003"/>
      <c r="I21" s="1006" t="str">
        <f>INDEX(TEMPLATE_NUMBER_POINT_FHD,B21,MATCH(TEMPLATE_SPHERE,TEMPLATE_SPHERE_LIST_FOR_NOTE,0))</f>
        <v>2.2</v>
      </c>
      <c r="J21" s="1006" t="str">
        <f>INDEX(TEMPLATE_DATA_POINT_FHD,B21,MATCH(TEMPLATE_SPHERE,TEMPLATE_SPHERE_LIST_FOR_NOTE,0))</f>
        <v>Расходы на топливо с указанием по каждому виду топлива стоимости (за единицу объема), объема и способа его приобретения, стоимости его доставки</v>
      </c>
      <c r="K21" s="1006" t="str">
        <f>INDEX(TEMPLATE_NOTE_POINT_FHD,B21,MATCH(TEMPLATE_SPHERE,TEMPLATE_SPHERE_LIST_FOR_NOTE,0))</f>
        <v>Указываются суммарные расходы на приобретение топлива всех видов.</v>
      </c>
      <c r="L21" s="845" t="str">
        <f>IF(I21=0,"",I21)</f>
        <v>2.2</v>
      </c>
      <c r="M21" s="845" t="str">
        <f>IF(J21=0,"",J21)</f>
        <v>Расходы на топливо с указанием по каждому виду топлива стоимости (за единицу объема), объема и способа его приобретения, стоимости его доставки</v>
      </c>
      <c r="N21" s="845" t="str">
        <f>IF(K21=0,"",K21)</f>
        <v>Указываются суммарные расходы на приобретение топлива всех видов.</v>
      </c>
      <c r="O21" s="958" t="s">
        <v>324</v>
      </c>
      <c r="P21" s="958"/>
      <c r="Q21" s="958"/>
      <c r="R21" s="958"/>
      <c r="S21" s="958"/>
      <c r="T21" s="965" t="s">
        <v>2070</v>
      </c>
      <c r="U21" s="847"/>
      <c r="V21" s="847"/>
      <c r="W21" s="847"/>
      <c r="X21" s="844"/>
      <c r="Y21" s="1001"/>
      <c r="Z21" s="847" t="s">
        <v>2071</v>
      </c>
      <c r="AA21" s="850"/>
      <c r="AB21" s="847"/>
      <c r="AC21" s="847"/>
      <c r="AD21" s="847"/>
    </row>
    <row customHeight="1" ht="36">
      <c r="A22" s="846"/>
      <c r="B22" s="900">
        <v>5</v>
      </c>
      <c r="C22" s="844">
        <v>3</v>
      </c>
      <c r="D22" s="968"/>
      <c r="E22" s="844"/>
      <c r="F22" s="844"/>
      <c r="G22" s="892"/>
      <c r="H22" s="959"/>
      <c r="I22" s="1006">
        <f>INDEX(TEMPLATE_NUMBER_POINT_FHD,B22,MATCH(TEMPLATE_SPHERE,TEMPLATE_SPHERE_LIST_FOR_NOTE,0))</f>
        <v>0</v>
      </c>
      <c r="J22" s="1006">
        <f>INDEX(TEMPLATE_DATA_POINT_FHD,B22,MATCH(TEMPLATE_SPHERE,TEMPLATE_SPHERE_LIST_FOR_NOTE,0))</f>
        <v>0</v>
      </c>
      <c r="K22" s="1006">
        <f>INDEX(TEMPLATE_NOTE_POINT_FHD,B22,MATCH(TEMPLATE_SPHERE,TEMPLATE_SPHERE_LIST_FOR_NOTE,0))</f>
        <v>0</v>
      </c>
      <c r="L22" s="845" t="str">
        <f>IF(I22=0,"",I22)</f>
        <v/>
      </c>
      <c r="M22" s="845" t="str">
        <f>IF(J22=0,"",J22)</f>
        <v/>
      </c>
      <c r="N22" s="845" t="str">
        <f>IF(K22=0,"",K22)</f>
        <v/>
      </c>
      <c r="O22" s="958"/>
      <c r="P22" s="958"/>
      <c r="Q22" s="958" t="s">
        <v>324</v>
      </c>
      <c r="R22" s="958"/>
      <c r="S22" s="958"/>
      <c r="T22" s="965"/>
      <c r="U22" s="847"/>
      <c r="V22" s="847" t="s">
        <v>2072</v>
      </c>
      <c r="W22" s="847"/>
      <c r="X22" s="844"/>
      <c r="Y22" s="1001"/>
      <c r="Z22" s="847"/>
      <c r="AA22" s="850"/>
      <c r="AB22" s="847"/>
      <c r="AC22" s="847"/>
      <c r="AD22" s="847"/>
    </row>
    <row customHeight="1" ht="27">
      <c r="A23" s="846"/>
      <c r="B23" s="900">
        <v>6</v>
      </c>
      <c r="C23" s="844">
        <v>4</v>
      </c>
      <c r="D23" s="968"/>
      <c r="E23" s="844"/>
      <c r="F23" s="844"/>
      <c r="G23" s="892"/>
      <c r="H23" s="959"/>
      <c r="I23" s="1006">
        <f>INDEX(TEMPLATE_NUMBER_POINT_FHD,B23,MATCH(TEMPLATE_SPHERE,TEMPLATE_SPHERE_LIST_FOR_NOTE,0))</f>
        <v>0</v>
      </c>
      <c r="J23" s="1006">
        <f>INDEX(TEMPLATE_DATA_POINT_FHD,B23,MATCH(TEMPLATE_SPHERE,TEMPLATE_SPHERE_LIST_FOR_NOTE,0))</f>
        <v>0</v>
      </c>
      <c r="K23" s="1006">
        <f>INDEX(TEMPLATE_NOTE_POINT_FHD,B23,MATCH(TEMPLATE_SPHERE,TEMPLATE_SPHERE_LIST_FOR_NOTE,0))</f>
        <v>0</v>
      </c>
      <c r="L23" s="845" t="str">
        <f>IF(I23=0,"",I23)</f>
        <v/>
      </c>
      <c r="M23" s="845" t="str">
        <f>IF(J23=0,"",J23)</f>
        <v/>
      </c>
      <c r="N23" s="845" t="str">
        <f>IF(K23=0,"",K23)</f>
        <v/>
      </c>
      <c r="O23" s="958"/>
      <c r="P23" s="958"/>
      <c r="Q23" s="958" t="s">
        <v>327</v>
      </c>
      <c r="R23" s="958"/>
      <c r="S23" s="958"/>
      <c r="T23" s="965"/>
      <c r="U23" s="847"/>
      <c r="V23" s="847" t="s">
        <v>2073</v>
      </c>
      <c r="W23" s="847"/>
      <c r="X23" s="844"/>
      <c r="Y23" s="1001"/>
      <c r="Z23" s="847"/>
      <c r="AA23" s="850"/>
      <c r="AB23" s="847"/>
      <c r="AC23" s="847"/>
      <c r="AD23" s="847"/>
    </row>
    <row customHeight="1" ht="36">
      <c r="A24" s="846"/>
      <c r="B24" s="900">
        <v>7</v>
      </c>
      <c r="C24" s="844">
        <v>5</v>
      </c>
      <c r="D24" s="968"/>
      <c r="E24" s="844"/>
      <c r="F24" s="844"/>
      <c r="G24" s="892"/>
      <c r="H24" s="959"/>
      <c r="I24" s="1006">
        <f>INDEX(TEMPLATE_NUMBER_POINT_FHD,B24,MATCH(TEMPLATE_SPHERE,TEMPLATE_SPHERE_LIST_FOR_NOTE,0))</f>
        <v>0</v>
      </c>
      <c r="J24" s="1006">
        <f>INDEX(TEMPLATE_DATA_POINT_FHD,B24,MATCH(TEMPLATE_SPHERE,TEMPLATE_SPHERE_LIST_FOR_NOTE,0))</f>
        <v>0</v>
      </c>
      <c r="K24" s="1006">
        <f>INDEX(TEMPLATE_NOTE_POINT_FHD,B24,MATCH(TEMPLATE_SPHERE,TEMPLATE_SPHERE_LIST_FOR_NOTE,0))</f>
        <v>0</v>
      </c>
      <c r="L24" s="845" t="str">
        <f>IF(I24=0,"",I24)</f>
        <v/>
      </c>
      <c r="M24" s="845" t="str">
        <f>IF(J24=0,"",J24)</f>
        <v/>
      </c>
      <c r="N24" s="845" t="str">
        <f>IF(K24=0,"",K24)</f>
        <v/>
      </c>
      <c r="O24" s="958"/>
      <c r="P24" s="958"/>
      <c r="Q24" s="958" t="s">
        <v>747</v>
      </c>
      <c r="R24" s="958"/>
      <c r="S24" s="958"/>
      <c r="T24" s="965"/>
      <c r="U24" s="847"/>
      <c r="V24" s="847" t="s">
        <v>2074</v>
      </c>
      <c r="W24" s="847"/>
      <c r="X24" s="844"/>
      <c r="Y24" s="1001"/>
      <c r="Z24" s="847"/>
      <c r="AA24" s="850"/>
      <c r="AB24" s="847"/>
      <c r="AC24" s="847"/>
      <c r="AD24" s="847"/>
    </row>
    <row customHeight="1" ht="36">
      <c r="A25" s="846"/>
      <c r="B25" s="900">
        <v>8</v>
      </c>
      <c r="C25" s="844">
        <v>6</v>
      </c>
      <c r="D25" s="968"/>
      <c r="E25" s="844"/>
      <c r="F25" s="844"/>
      <c r="G25" s="892"/>
      <c r="H25" s="959"/>
      <c r="I25" s="1006" t="str">
        <f>INDEX(TEMPLATE_NUMBER_POINT_FHD,B25,MATCH(TEMPLATE_SPHERE,TEMPLATE_SPHERE_LIST_FOR_NOTE,0))</f>
        <v>2.3</v>
      </c>
      <c r="J25" s="1006" t="str">
        <f>INDEX(TEMPLATE_DATA_POINT_FHD,B25,MATCH(TEMPLATE_SPHERE,TEMPLATE_SPHERE_LIST_FOR_NOTE,0))</f>
        <v>Расходы на приобретаемую электрическую энергию (мощность), используемую в технологическом процессе</v>
      </c>
      <c r="K25" s="1006">
        <f>INDEX(TEMPLATE_NOTE_POINT_FHD,B25,MATCH(TEMPLATE_SPHERE,TEMPLATE_SPHERE_LIST_FOR_NOTE,0))</f>
        <v>0</v>
      </c>
      <c r="L25" s="845" t="str">
        <f>IF(I25=0,"",I25)</f>
        <v>2.3</v>
      </c>
      <c r="M25" s="845" t="str">
        <f>IF(J25=0,"",J25)</f>
        <v>Расходы на приобретаемую электрическую энергию (мощность), используемую в технологическом процессе</v>
      </c>
      <c r="N25" s="845" t="str">
        <f>IF(K25=0,"",K25)</f>
        <v/>
      </c>
      <c r="O25" s="958" t="s">
        <v>327</v>
      </c>
      <c r="P25" s="958" t="s">
        <v>324</v>
      </c>
      <c r="Q25" s="958" t="s">
        <v>754</v>
      </c>
      <c r="R25" s="958" t="s">
        <v>324</v>
      </c>
      <c r="S25" s="958"/>
      <c r="T25" s="965" t="s">
        <v>2075</v>
      </c>
      <c r="U25" s="847" t="s">
        <v>2075</v>
      </c>
      <c r="V25" s="847" t="s">
        <v>2075</v>
      </c>
      <c r="W25" s="847" t="s">
        <v>2075</v>
      </c>
      <c r="X25" s="844"/>
      <c r="Y25" s="1001"/>
      <c r="Z25" s="847"/>
      <c r="AA25" s="850"/>
      <c r="AB25" s="847"/>
      <c r="AC25" s="847"/>
      <c r="AD25" s="847"/>
    </row>
    <row customHeight="1" ht="18">
      <c r="A26" s="846"/>
      <c r="B26" s="900">
        <v>9</v>
      </c>
      <c r="C26" s="844" t="s">
        <v>671</v>
      </c>
      <c r="D26" s="968"/>
      <c r="E26" s="844"/>
      <c r="F26" s="844"/>
      <c r="G26" s="892"/>
      <c r="H26" s="959"/>
      <c r="I26" s="1006" t="str">
        <f>INDEX(TEMPLATE_NUMBER_POINT_FHD,B26,MATCH(TEMPLATE_SPHERE,TEMPLATE_SPHERE_LIST_FOR_NOTE,0))</f>
        <v>2.3.1</v>
      </c>
      <c r="J26" s="1006" t="str">
        <f>INDEX(TEMPLATE_DATA_POINT_FHD,B26,MATCH(TEMPLATE_SPHERE,TEMPLATE_SPHERE_LIST_FOR_NOTE,0))</f>
        <v>Средневзвешенная стоимость 1 кВт.ч (с учетом мощности)</v>
      </c>
      <c r="K26" s="1006">
        <f>INDEX(TEMPLATE_NOTE_POINT_FHD,B26,MATCH(TEMPLATE_SPHERE,TEMPLATE_SPHERE_LIST_FOR_NOTE,0))</f>
        <v>0</v>
      </c>
      <c r="L26" s="845" t="str">
        <f>IF(I26=0,"",I26)</f>
        <v>2.3.1</v>
      </c>
      <c r="M26" s="845" t="str">
        <f>IF(J26=0,"",J26)</f>
        <v>Средневзвешенная стоимость 1 кВт.ч (с учетом мощности)</v>
      </c>
      <c r="N26" s="845" t="str">
        <f>IF(K26=0,"",K26)</f>
        <v/>
      </c>
      <c r="O26" s="958" t="s">
        <v>743</v>
      </c>
      <c r="P26" s="958" t="s">
        <v>737</v>
      </c>
      <c r="Q26" s="958" t="s">
        <v>2076</v>
      </c>
      <c r="R26" s="958" t="s">
        <v>737</v>
      </c>
      <c r="S26" s="958"/>
      <c r="T26" s="965" t="str">
        <f>"Средневзвешенная стоимость 1 кВт.ч"&amp;IF(TITLE_TYPE_ORG="Регулируемая организация"," (с учетом мощности)","")</f>
        <v>Средневзвешенная стоимость 1 кВт.ч (с учетом мощности)</v>
      </c>
      <c r="U26" s="965" t="s">
        <v>2077</v>
      </c>
      <c r="V26" s="965" t="s">
        <v>2077</v>
      </c>
      <c r="W26" s="965" t="s">
        <v>2077</v>
      </c>
      <c r="X26" s="844"/>
      <c r="Y26" s="1001"/>
      <c r="Z26" s="847"/>
      <c r="AA26" s="850"/>
      <c r="AB26" s="847"/>
      <c r="AC26" s="847"/>
      <c r="AD26" s="847"/>
    </row>
    <row customHeight="1" ht="18">
      <c r="A27" s="846"/>
      <c r="B27" s="900">
        <v>10</v>
      </c>
      <c r="C27" s="844" t="s">
        <v>675</v>
      </c>
      <c r="D27" s="968"/>
      <c r="E27" s="844"/>
      <c r="F27" s="844"/>
      <c r="G27" s="892"/>
      <c r="H27" s="959"/>
      <c r="I27" s="1006" t="str">
        <f>INDEX(TEMPLATE_NUMBER_POINT_FHD,B27,MATCH(TEMPLATE_SPHERE,TEMPLATE_SPHERE_LIST_FOR_NOTE,0))</f>
        <v>2.3.2</v>
      </c>
      <c r="J27" s="1006" t="str">
        <f>INDEX(TEMPLATE_DATA_POINT_FHD,B27,MATCH(TEMPLATE_SPHERE,TEMPLATE_SPHERE_LIST_FOR_NOTE,0))</f>
        <v>Объём приобретения электрической энергии</v>
      </c>
      <c r="K27" s="1006">
        <f>INDEX(TEMPLATE_NOTE_POINT_FHD,B27,MATCH(TEMPLATE_SPHERE,TEMPLATE_SPHERE_LIST_FOR_NOTE,0))</f>
        <v>0</v>
      </c>
      <c r="L27" s="845" t="str">
        <f>IF(I27=0,"",I27)</f>
        <v>2.3.2</v>
      </c>
      <c r="M27" s="845" t="str">
        <f>IF(J27=0,"",J27)</f>
        <v>Объём приобретения электрической энергии</v>
      </c>
      <c r="N27" s="845" t="str">
        <f>IF(K27=0,"",K27)</f>
        <v/>
      </c>
      <c r="O27" s="958" t="s">
        <v>745</v>
      </c>
      <c r="P27" s="958" t="s">
        <v>739</v>
      </c>
      <c r="Q27" s="958" t="s">
        <v>2078</v>
      </c>
      <c r="R27" s="958" t="s">
        <v>739</v>
      </c>
      <c r="S27" s="958"/>
      <c r="T27" s="965" t="s">
        <v>2079</v>
      </c>
      <c r="U27" s="965" t="s">
        <v>2079</v>
      </c>
      <c r="V27" s="965" t="s">
        <v>2079</v>
      </c>
      <c r="W27" s="965" t="s">
        <v>2079</v>
      </c>
      <c r="X27" s="844"/>
      <c r="Y27" s="1001"/>
      <c r="Z27" s="847"/>
      <c r="AA27" s="850"/>
      <c r="AB27" s="847"/>
      <c r="AC27" s="847"/>
      <c r="AD27" s="847"/>
    </row>
    <row customHeight="1" ht="27">
      <c r="A28" s="846"/>
      <c r="B28" s="900">
        <v>11</v>
      </c>
      <c r="C28" s="844">
        <v>7</v>
      </c>
      <c r="D28" s="968"/>
      <c r="E28" s="844"/>
      <c r="F28" s="844"/>
      <c r="G28" s="892"/>
      <c r="H28" s="959"/>
      <c r="I28" s="1006" t="str">
        <f>INDEX(TEMPLATE_NUMBER_POINT_FHD,B28,MATCH(TEMPLATE_SPHERE,TEMPLATE_SPHERE_LIST_FOR_NOTE,0))</f>
        <v>2.4</v>
      </c>
      <c r="J28" s="1006" t="str">
        <f>INDEX(TEMPLATE_DATA_POINT_FHD,B28,MATCH(TEMPLATE_SPHERE,TEMPLATE_SPHERE_LIST_FOR_NOTE,0))</f>
        <v>Расходы на приобретение холодной воды, используемой в технологическом процессе</v>
      </c>
      <c r="K28" s="1006">
        <f>INDEX(TEMPLATE_NOTE_POINT_FHD,B28,MATCH(TEMPLATE_SPHERE,TEMPLATE_SPHERE_LIST_FOR_NOTE,0))</f>
        <v>0</v>
      </c>
      <c r="L28" s="845" t="str">
        <f>IF(I28=0,"",I28)</f>
        <v>2.4</v>
      </c>
      <c r="M28" s="845" t="str">
        <f>IF(J28=0,"",J28)</f>
        <v>Расходы на приобретение холодной воды, используемой в технологическом процессе</v>
      </c>
      <c r="N28" s="845" t="str">
        <f>IF(K28=0,"",K28)</f>
        <v/>
      </c>
      <c r="O28" s="958" t="s">
        <v>747</v>
      </c>
      <c r="P28" s="958"/>
      <c r="Q28" s="958"/>
      <c r="R28" s="958"/>
      <c r="S28" s="958"/>
      <c r="T28" s="965" t="s">
        <v>2080</v>
      </c>
      <c r="U28" s="847"/>
      <c r="V28" s="847"/>
      <c r="W28" s="847"/>
      <c r="X28" s="844"/>
      <c r="Y28" s="1001"/>
      <c r="Z28" s="847"/>
      <c r="AA28" s="850"/>
      <c r="AB28" s="847"/>
      <c r="AC28" s="847"/>
      <c r="AD28" s="847"/>
    </row>
    <row customHeight="1" ht="27">
      <c r="A29" s="846"/>
      <c r="B29" s="900">
        <v>12</v>
      </c>
      <c r="C29" s="844">
        <v>8</v>
      </c>
      <c r="D29" s="968"/>
      <c r="E29" s="844"/>
      <c r="F29" s="844"/>
      <c r="G29" s="892"/>
      <c r="H29" s="959"/>
      <c r="I29" s="1006" t="str">
        <f>INDEX(TEMPLATE_NUMBER_POINT_FHD,B29,MATCH(TEMPLATE_SPHERE,TEMPLATE_SPHERE_LIST_FOR_NOTE,0))</f>
        <v>2.5</v>
      </c>
      <c r="J29" s="1006" t="str">
        <f>INDEX(TEMPLATE_DATA_POINT_FHD,B29,MATCH(TEMPLATE_SPHERE,TEMPLATE_SPHERE_LIST_FOR_NOTE,0))</f>
        <v>Расходы на  химические реагенты, используемые в технологическом процессе</v>
      </c>
      <c r="K29" s="1006">
        <f>INDEX(TEMPLATE_NOTE_POINT_FHD,B29,MATCH(TEMPLATE_SPHERE,TEMPLATE_SPHERE_LIST_FOR_NOTE,0))</f>
        <v>0</v>
      </c>
      <c r="L29" s="845" t="str">
        <f>IF(I29=0,"",I29)</f>
        <v>2.5</v>
      </c>
      <c r="M29" s="845" t="str">
        <f>IF(J29=0,"",J29)</f>
        <v>Расходы на  химические реагенты, используемые в технологическом процессе</v>
      </c>
      <c r="N29" s="845" t="str">
        <f>IF(K29=0,"",K29)</f>
        <v/>
      </c>
      <c r="O29" s="958" t="s">
        <v>754</v>
      </c>
      <c r="P29" s="958" t="s">
        <v>327</v>
      </c>
      <c r="Q29" s="958"/>
      <c r="R29" s="958" t="s">
        <v>327</v>
      </c>
      <c r="S29" s="958"/>
      <c r="T29" s="965" t="str">
        <f>"Расходы на  хим"&amp;IF(TITLE_TYPE_ORG="Регулируемая организация","ические",".")&amp;" реагенты, используемые в технологическом процессе"</f>
        <v>Расходы на  химические реагенты, используемые в технологическом процессе</v>
      </c>
      <c r="U29" s="847" t="s">
        <v>2081</v>
      </c>
      <c r="V29" s="847"/>
      <c r="W29" s="847" t="s">
        <v>2081</v>
      </c>
      <c r="X29" s="844"/>
      <c r="Y29" s="1001"/>
      <c r="Z29" s="847"/>
      <c r="AA29" s="850"/>
      <c r="AB29" s="847"/>
      <c r="AC29" s="847"/>
      <c r="AD29" s="847"/>
    </row>
    <row customHeight="1" ht="54">
      <c r="A30" s="846"/>
      <c r="B30" s="900">
        <v>13</v>
      </c>
      <c r="C30" s="844">
        <v>9</v>
      </c>
      <c r="D30" s="968"/>
      <c r="E30" s="844"/>
      <c r="F30" s="844"/>
      <c r="G30" s="892"/>
      <c r="H30" s="959"/>
      <c r="I30" s="1006" t="str">
        <f>INDEX(TEMPLATE_NUMBER_POINT_FHD,B30,MATCH(TEMPLATE_SPHERE,TEMPLATE_SPHERE_LIST_FOR_NOTE,0))</f>
        <v>2.6</v>
      </c>
      <c r="J30" s="1006" t="str">
        <f>INDEX(TEMPLATE_DATA_POINT_FHD,B30,MATCH(TEMPLATE_SPHERE,TEMPLATE_SPHERE_LIST_FOR_NOTE,0))</f>
        <v>Расходы на оплату труда и страховые взносы на обязательное социальное страхование, выплачиваемые из фонда оплаты труда основного производственного персонала, в том числе:</v>
      </c>
      <c r="K30" s="1006">
        <f>INDEX(TEMPLATE_NOTE_POINT_FHD,B30,MATCH(TEMPLATE_SPHERE,TEMPLATE_SPHERE_LIST_FOR_NOTE,0))</f>
        <v>0</v>
      </c>
      <c r="L30" s="845" t="str">
        <f>IF(I30=0,"",I30)</f>
        <v>2.6</v>
      </c>
      <c r="M30" s="845" t="str">
        <f>IF(J30=0,"",J30)</f>
        <v>Расходы на оплату труда и страховые взносы на обязательное социальное страхование, выплачиваемые из фонда оплаты труда основного производственного персонала, в том числе:</v>
      </c>
      <c r="N30" s="845" t="str">
        <f>IF(K30=0,"",K30)</f>
        <v/>
      </c>
      <c r="O30" s="958" t="s">
        <v>756</v>
      </c>
      <c r="P30" s="958" t="s">
        <v>747</v>
      </c>
      <c r="Q30" s="958" t="s">
        <v>756</v>
      </c>
      <c r="R30" s="958" t="s">
        <v>747</v>
      </c>
      <c r="S30" s="958"/>
      <c r="T30" s="965" t="s">
        <v>2082</v>
      </c>
      <c r="U30" s="847" t="s">
        <v>2082</v>
      </c>
      <c r="V30" s="847" t="s">
        <v>2082</v>
      </c>
      <c r="W30" s="847" t="s">
        <v>2082</v>
      </c>
      <c r="X30" s="844"/>
      <c r="Y30" s="1001"/>
      <c r="Z30" s="847"/>
      <c r="AA30" s="850" t="s">
        <v>2083</v>
      </c>
      <c r="AB30" s="850" t="s">
        <v>2083</v>
      </c>
      <c r="AC30" s="850" t="s">
        <v>2083</v>
      </c>
      <c r="AD30" s="847"/>
    </row>
    <row customHeight="1" ht="18">
      <c r="A31" s="846"/>
      <c r="B31" s="900">
        <v>14</v>
      </c>
      <c r="C31" s="844" t="s">
        <v>2084</v>
      </c>
      <c r="D31" s="968"/>
      <c r="E31" s="844"/>
      <c r="F31" s="844"/>
      <c r="G31" s="892"/>
      <c r="H31" s="959"/>
      <c r="I31" s="1006" t="str">
        <f>INDEX(TEMPLATE_NUMBER_POINT_FHD,B31,MATCH(TEMPLATE_SPHERE,TEMPLATE_SPHERE_LIST_FOR_NOTE,0))</f>
        <v>2.6.1</v>
      </c>
      <c r="J31" s="1006" t="str">
        <f>INDEX(TEMPLATE_DATA_POINT_FHD,B31,MATCH(TEMPLATE_SPHERE,TEMPLATE_SPHERE_LIST_FOR_NOTE,0))</f>
        <v>Расходы на оплату труда основного производственного персонала</v>
      </c>
      <c r="K31" s="1006">
        <f>INDEX(TEMPLATE_NOTE_POINT_FHD,B31,MATCH(TEMPLATE_SPHERE,TEMPLATE_SPHERE_LIST_FOR_NOTE,0))</f>
        <v>0</v>
      </c>
      <c r="L31" s="845" t="str">
        <f>IF(I31=0,"",I31)</f>
        <v>2.6.1</v>
      </c>
      <c r="M31" s="845" t="str">
        <f>IF(J31=0,"",J31)</f>
        <v>Расходы на оплату труда основного производственного персонала</v>
      </c>
      <c r="N31" s="845" t="str">
        <f>IF(K31=0,"",K31)</f>
        <v/>
      </c>
      <c r="O31" s="958" t="s">
        <v>2085</v>
      </c>
      <c r="P31" s="958" t="s">
        <v>750</v>
      </c>
      <c r="Q31" s="958" t="s">
        <v>2085</v>
      </c>
      <c r="R31" s="958" t="s">
        <v>750</v>
      </c>
      <c r="S31" s="958"/>
      <c r="T31" s="966" t="s">
        <v>2086</v>
      </c>
      <c r="U31" s="847" t="s">
        <v>2086</v>
      </c>
      <c r="V31" s="847" t="s">
        <v>2086</v>
      </c>
      <c r="W31" s="847" t="s">
        <v>2086</v>
      </c>
      <c r="X31" s="844"/>
      <c r="Y31" s="1001"/>
      <c r="Z31" s="847"/>
      <c r="AA31" s="850"/>
      <c r="AB31" s="850"/>
      <c r="AC31" s="850"/>
      <c r="AD31" s="847"/>
    </row>
    <row customHeight="1" ht="36">
      <c r="A32" s="846"/>
      <c r="B32" s="900">
        <v>15</v>
      </c>
      <c r="C32" s="844" t="s">
        <v>2087</v>
      </c>
      <c r="D32" s="968"/>
      <c r="E32" s="844"/>
      <c r="F32" s="844"/>
      <c r="G32" s="892"/>
      <c r="H32" s="959"/>
      <c r="I32" s="1006" t="str">
        <f>INDEX(TEMPLATE_NUMBER_POINT_FHD,B32,MATCH(TEMPLATE_SPHERE,TEMPLATE_SPHERE_LIST_FOR_NOTE,0))</f>
        <v>2.6.2</v>
      </c>
      <c r="J32" s="1006" t="str">
        <f>INDEX(TEMPLATE_DATA_POINT_FHD,B32,MATCH(TEMPLATE_SPHERE,TEMPLATE_SPHERE_LIST_FOR_NOTE,0))</f>
        <v>Страховые взносы на обязательное социальное страхование, выплачиваемые из фонда оплаты труда основного производственного персонала</v>
      </c>
      <c r="K32" s="1006">
        <f>INDEX(TEMPLATE_NOTE_POINT_FHD,B32,MATCH(TEMPLATE_SPHERE,TEMPLATE_SPHERE_LIST_FOR_NOTE,0))</f>
        <v>0</v>
      </c>
      <c r="L32" s="845" t="str">
        <f>IF(I32=0,"",I32)</f>
        <v>2.6.2</v>
      </c>
      <c r="M32" s="845" t="str">
        <f>IF(J32=0,"",J32)</f>
        <v>Страховые взносы на обязательное социальное страхование, выплачиваемые из фонда оплаты труда основного производственного персонала</v>
      </c>
      <c r="N32" s="845" t="str">
        <f>IF(K32=0,"",K32)</f>
        <v/>
      </c>
      <c r="O32" s="958" t="s">
        <v>2088</v>
      </c>
      <c r="P32" s="958" t="s">
        <v>752</v>
      </c>
      <c r="Q32" s="958" t="s">
        <v>2088</v>
      </c>
      <c r="R32" s="958" t="s">
        <v>752</v>
      </c>
      <c r="S32" s="958"/>
      <c r="T32" s="967" t="str">
        <f>IF(TITLE_TYPE_ORG="Регулируемая организация","С","Расходы на с")&amp;"траховые взносы на обязательное социальное страхование, выплачиваемые из фонда оплаты труда основного производственного персонала"</f>
        <v>Страховые взносы на обязательное социальное страхование, выплачиваемые из фонда оплаты труда основного производственного персонала</v>
      </c>
      <c r="U32" s="847" t="s">
        <v>2089</v>
      </c>
      <c r="V32" s="847" t="s">
        <v>2089</v>
      </c>
      <c r="W32" s="847" t="s">
        <v>2089</v>
      </c>
      <c r="X32" s="844"/>
      <c r="Y32" s="1001"/>
      <c r="Z32" s="847"/>
      <c r="AA32" s="850"/>
      <c r="AB32" s="850"/>
      <c r="AC32" s="850"/>
      <c r="AD32" s="847"/>
    </row>
    <row customHeight="1" ht="45">
      <c r="A33" s="846"/>
      <c r="B33" s="900">
        <v>16</v>
      </c>
      <c r="C33" s="844">
        <v>10</v>
      </c>
      <c r="D33" s="968"/>
      <c r="E33" s="844"/>
      <c r="F33" s="844"/>
      <c r="G33" s="892"/>
      <c r="H33" s="959"/>
      <c r="I33" s="1006" t="str">
        <f>INDEX(TEMPLATE_NUMBER_POINT_FHD,B33,MATCH(TEMPLATE_SPHERE,TEMPLATE_SPHERE_LIST_FOR_NOTE,0))</f>
        <v>2.7</v>
      </c>
      <c r="J33" s="1006" t="str">
        <f>INDEX(TEMPLATE_DATA_POINT_FHD,B33,MATCH(TEMPLATE_SPHERE,TEMPLATE_SPHERE_LIST_FOR_NOTE,0))</f>
        <v>Расходы на оплату труда и страховые взносы на обязательное социальное страхование, выплачиваемые из фонда оплаты труда административно-управленческого персонала, в том числе:</v>
      </c>
      <c r="K33" s="1006">
        <f>INDEX(TEMPLATE_NOTE_POINT_FHD,B33,MATCH(TEMPLATE_SPHERE,TEMPLATE_SPHERE_LIST_FOR_NOTE,0))</f>
        <v>0</v>
      </c>
      <c r="L33" s="845" t="str">
        <f>IF(I33=0,"",I33)</f>
        <v>2.7</v>
      </c>
      <c r="M33" s="845" t="str">
        <f>IF(J33=0,"",J33)</f>
        <v>Расходы на оплату труда и страховые взносы на обязательное социальное страхование, выплачиваемые из фонда оплаты труда административно-управленческого персонала, в том числе:</v>
      </c>
      <c r="N33" s="845" t="str">
        <f>IF(K33=0,"",K33)</f>
        <v/>
      </c>
      <c r="O33" s="958" t="s">
        <v>758</v>
      </c>
      <c r="P33" s="958" t="s">
        <v>754</v>
      </c>
      <c r="Q33" s="958" t="s">
        <v>758</v>
      </c>
      <c r="R33" s="958" t="s">
        <v>754</v>
      </c>
      <c r="S33" s="958"/>
      <c r="T33" s="966" t="str">
        <f>"Расходы на оплату труда и страховые взносы на обязательное социальное страхование, выплачиваемые из фонда оплаты труда административно-управленческого персонала"&amp;IF(TITLE_TYPE_ORG="Регулируемая организация",", в том числе","")&amp;":"</f>
        <v>Расходы на оплату труда и страховые взносы на обязательное социальное страхование, выплачиваемые из фонда оплаты труда административно-управленческого персонала, в том числе:</v>
      </c>
      <c r="U33" s="847" t="s">
        <v>2090</v>
      </c>
      <c r="V33" s="847" t="s">
        <v>2090</v>
      </c>
      <c r="W33" s="847" t="s">
        <v>2091</v>
      </c>
      <c r="X33" s="844"/>
      <c r="Y33" s="1001"/>
      <c r="Z33" s="847"/>
      <c r="AA33" s="850" t="s">
        <v>2092</v>
      </c>
      <c r="AB33" s="850" t="s">
        <v>2092</v>
      </c>
      <c r="AC33" s="850" t="s">
        <v>2092</v>
      </c>
      <c r="AD33" s="847"/>
    </row>
    <row customHeight="1" ht="27">
      <c r="A34" s="846"/>
      <c r="B34" s="900">
        <v>17</v>
      </c>
      <c r="C34" s="844" t="s">
        <v>2093</v>
      </c>
      <c r="D34" s="968"/>
      <c r="E34" s="844"/>
      <c r="F34" s="844"/>
      <c r="G34" s="892"/>
      <c r="H34" s="959"/>
      <c r="I34" s="1006" t="str">
        <f>INDEX(TEMPLATE_NUMBER_POINT_FHD,B34,MATCH(TEMPLATE_SPHERE,TEMPLATE_SPHERE_LIST_FOR_NOTE,0))</f>
        <v>2.7.1</v>
      </c>
      <c r="J34" s="1006" t="str">
        <f>INDEX(TEMPLATE_DATA_POINT_FHD,B34,MATCH(TEMPLATE_SPHERE,TEMPLATE_SPHERE_LIST_FOR_NOTE,0))</f>
        <v>Расходы на оплату труда административно-управленческого персонала</v>
      </c>
      <c r="K34" s="1006">
        <f>INDEX(TEMPLATE_NOTE_POINT_FHD,B34,MATCH(TEMPLATE_SPHERE,TEMPLATE_SPHERE_LIST_FOR_NOTE,0))</f>
        <v>0</v>
      </c>
      <c r="L34" s="845" t="str">
        <f>IF(I34=0,"",I34)</f>
        <v>2.7.1</v>
      </c>
      <c r="M34" s="845" t="str">
        <f>IF(J34=0,"",J34)</f>
        <v>Расходы на оплату труда административно-управленческого персонала</v>
      </c>
      <c r="N34" s="845" t="str">
        <f>IF(K34=0,"",K34)</f>
        <v/>
      </c>
      <c r="O34" s="958" t="s">
        <v>2094</v>
      </c>
      <c r="P34" s="958" t="s">
        <v>2076</v>
      </c>
      <c r="Q34" s="958" t="s">
        <v>2094</v>
      </c>
      <c r="R34" s="958" t="s">
        <v>2076</v>
      </c>
      <c r="S34" s="958"/>
      <c r="T34" s="967" t="s">
        <v>2095</v>
      </c>
      <c r="U34" s="847" t="s">
        <v>2095</v>
      </c>
      <c r="V34" s="847" t="s">
        <v>2095</v>
      </c>
      <c r="W34" s="847" t="s">
        <v>2096</v>
      </c>
      <c r="X34" s="844"/>
      <c r="Y34" s="1001"/>
      <c r="Z34" s="847"/>
      <c r="AA34" s="850"/>
      <c r="AB34" s="847"/>
      <c r="AC34" s="847"/>
      <c r="AD34" s="847"/>
    </row>
    <row customHeight="1" ht="45">
      <c r="A35" s="846"/>
      <c r="B35" s="900">
        <v>18</v>
      </c>
      <c r="C35" s="844" t="s">
        <v>2097</v>
      </c>
      <c r="D35" s="968"/>
      <c r="E35" s="844"/>
      <c r="F35" s="844"/>
      <c r="G35" s="892"/>
      <c r="H35" s="959"/>
      <c r="I35" s="1006" t="str">
        <f>INDEX(TEMPLATE_NUMBER_POINT_FHD,B35,MATCH(TEMPLATE_SPHERE,TEMPLATE_SPHERE_LIST_FOR_NOTE,0))</f>
        <v>2.7.2</v>
      </c>
      <c r="J35" s="1006" t="str">
        <f>INDEX(TEMPLATE_DATA_POINT_FHD,B35,MATCH(TEMPLATE_SPHERE,TEMPLATE_SPHERE_LIST_FOR_NOTE,0))</f>
        <v>Страховые взносы на обязательное социальное страхование, выплачиваемые из фонда оплаты труда административно-управленческого персонала</v>
      </c>
      <c r="K35" s="1006">
        <f>INDEX(TEMPLATE_NOTE_POINT_FHD,B35,MATCH(TEMPLATE_SPHERE,TEMPLATE_SPHERE_LIST_FOR_NOTE,0))</f>
        <v>0</v>
      </c>
      <c r="L35" s="845" t="str">
        <f>IF(I35=0,"",I35)</f>
        <v>2.7.2</v>
      </c>
      <c r="M35" s="845" t="str">
        <f>IF(J35=0,"",J35)</f>
        <v>Страховые взносы на обязательное социальное страхование, выплачиваемые из фонда оплаты труда административно-управленческого персонала</v>
      </c>
      <c r="N35" s="845" t="str">
        <f>IF(K35=0,"",K35)</f>
        <v/>
      </c>
      <c r="O35" s="958" t="s">
        <v>2098</v>
      </c>
      <c r="P35" s="958" t="s">
        <v>2078</v>
      </c>
      <c r="Q35" s="958" t="s">
        <v>2098</v>
      </c>
      <c r="R35" s="958" t="s">
        <v>2078</v>
      </c>
      <c r="S35" s="958"/>
      <c r="T35" s="965" t="str">
        <f>IF(TITLE_TYPE_ORG="Регулируемая организация","С","Расходы на с")&amp;"траховые взносы на обязательное социальное страхование, выплачиваемые из фонда оплаты труда административно-управленческого персонала"</f>
        <v>Страховые взносы на обязательное социальное страхование, выплачиваемые из фонда оплаты труда административно-управленческого персонала</v>
      </c>
      <c r="U35" s="847" t="s">
        <v>2099</v>
      </c>
      <c r="V35" s="847" t="s">
        <v>2099</v>
      </c>
      <c r="W35" s="847" t="s">
        <v>2099</v>
      </c>
      <c r="X35" s="844"/>
      <c r="Y35" s="1001"/>
      <c r="Z35" s="847"/>
      <c r="AA35" s="850"/>
      <c r="AB35" s="847"/>
      <c r="AC35" s="847"/>
      <c r="AD35" s="847"/>
    </row>
    <row customHeight="1" ht="18">
      <c r="A36" s="846"/>
      <c r="B36" s="900">
        <v>19</v>
      </c>
      <c r="C36" s="844">
        <v>11</v>
      </c>
      <c r="D36" s="968"/>
      <c r="E36" s="844"/>
      <c r="F36" s="844"/>
      <c r="G36" s="892"/>
      <c r="H36" s="959"/>
      <c r="I36" s="1006" t="str">
        <f>INDEX(TEMPLATE_NUMBER_POINT_FHD,B36,MATCH(TEMPLATE_SPHERE,TEMPLATE_SPHERE_LIST_FOR_NOTE,0))</f>
        <v>2.8</v>
      </c>
      <c r="J36" s="1006" t="str">
        <f>INDEX(TEMPLATE_DATA_POINT_FHD,B36,MATCH(TEMPLATE_SPHERE,TEMPLATE_SPHERE_LIST_FOR_NOTE,0))</f>
        <v>Расходы на амортизацию основных средств и нематериальных активов</v>
      </c>
      <c r="K36" s="1006">
        <f>INDEX(TEMPLATE_NOTE_POINT_FHD,B36,MATCH(TEMPLATE_SPHERE,TEMPLATE_SPHERE_LIST_FOR_NOTE,0))</f>
        <v>0</v>
      </c>
      <c r="L36" s="845" t="str">
        <f>IF(I36=0,"",I36)</f>
        <v>2.8</v>
      </c>
      <c r="M36" s="845" t="str">
        <f>IF(J36=0,"",J36)</f>
        <v>Расходы на амортизацию основных средств и нематериальных активов</v>
      </c>
      <c r="N36" s="845" t="str">
        <f>IF(K36=0,"",K36)</f>
        <v/>
      </c>
      <c r="O36" s="958" t="s">
        <v>760</v>
      </c>
      <c r="P36" s="958" t="s">
        <v>756</v>
      </c>
      <c r="Q36" s="958" t="s">
        <v>760</v>
      </c>
      <c r="R36" s="958" t="s">
        <v>756</v>
      </c>
      <c r="S36" s="958"/>
      <c r="T36" s="965" t="s">
        <v>2100</v>
      </c>
      <c r="U36" s="847" t="s">
        <v>2100</v>
      </c>
      <c r="V36" s="847" t="s">
        <v>2100</v>
      </c>
      <c r="W36" s="847" t="s">
        <v>2100</v>
      </c>
      <c r="X36" s="844"/>
      <c r="Y36" s="1001"/>
      <c r="Z36" s="847"/>
      <c r="AA36" s="850"/>
      <c r="AB36" s="847"/>
      <c r="AC36" s="847"/>
      <c r="AD36" s="847"/>
    </row>
    <row customHeight="1" ht="18">
      <c r="A37" s="846"/>
      <c r="B37" s="900">
        <v>20</v>
      </c>
      <c r="C37" s="844" t="s">
        <v>2101</v>
      </c>
      <c r="D37" s="968"/>
      <c r="E37" s="844"/>
      <c r="F37" s="844"/>
      <c r="G37" s="892"/>
      <c r="H37" s="959"/>
      <c r="I37" s="1006" t="str">
        <f>INDEX(TEMPLATE_NUMBER_POINT_FHD,B37,MATCH(TEMPLATE_SPHERE,TEMPLATE_SPHERE_LIST_FOR_NOTE,0))</f>
        <v>2.8.1</v>
      </c>
      <c r="J37" s="1006" t="str">
        <f>INDEX(TEMPLATE_DATA_POINT_FHD,B37,MATCH(TEMPLATE_SPHERE,TEMPLATE_SPHERE_LIST_FOR_NOTE,0))</f>
        <v>Расходы на амортизацию основных средств</v>
      </c>
      <c r="K37" s="1006">
        <f>INDEX(TEMPLATE_NOTE_POINT_FHD,B37,MATCH(TEMPLATE_SPHERE,TEMPLATE_SPHERE_LIST_FOR_NOTE,0))</f>
        <v>0</v>
      </c>
      <c r="L37" s="845" t="str">
        <f>IF(I37=0,"",I37)</f>
        <v>2.8.1</v>
      </c>
      <c r="M37" s="845" t="str">
        <f>IF(J37=0,"",J37)</f>
        <v>Расходы на амортизацию основных средств</v>
      </c>
      <c r="N37" s="845" t="str">
        <f>IF(K37=0,"",K37)</f>
        <v/>
      </c>
      <c r="O37" s="958" t="s">
        <v>2102</v>
      </c>
      <c r="P37" s="958" t="s">
        <v>2085</v>
      </c>
      <c r="Q37" s="958" t="s">
        <v>2102</v>
      </c>
      <c r="R37" s="958" t="s">
        <v>2085</v>
      </c>
      <c r="S37" s="958"/>
      <c r="T37" s="965" t="s">
        <v>2103</v>
      </c>
      <c r="U37" s="847" t="s">
        <v>2103</v>
      </c>
      <c r="V37" s="847" t="s">
        <v>2103</v>
      </c>
      <c r="W37" s="847" t="s">
        <v>2103</v>
      </c>
      <c r="X37" s="844"/>
      <c r="Y37" s="1001"/>
      <c r="Z37" s="847"/>
      <c r="AA37" s="850"/>
      <c r="AB37" s="847"/>
      <c r="AC37" s="847"/>
      <c r="AD37" s="847"/>
    </row>
    <row customHeight="1" ht="18">
      <c r="A38" s="846"/>
      <c r="B38" s="900">
        <v>21</v>
      </c>
      <c r="C38" s="844" t="s">
        <v>2104</v>
      </c>
      <c r="D38" s="968"/>
      <c r="E38" s="844"/>
      <c r="F38" s="844"/>
      <c r="G38" s="892"/>
      <c r="H38" s="959"/>
      <c r="I38" s="1006" t="str">
        <f>INDEX(TEMPLATE_NUMBER_POINT_FHD,B38,MATCH(TEMPLATE_SPHERE,TEMPLATE_SPHERE_LIST_FOR_NOTE,0))</f>
        <v>2.8.2</v>
      </c>
      <c r="J38" s="1006" t="str">
        <f>INDEX(TEMPLATE_DATA_POINT_FHD,B38,MATCH(TEMPLATE_SPHERE,TEMPLATE_SPHERE_LIST_FOR_NOTE,0))</f>
        <v>Расходы на амортизацию нематериальных активов</v>
      </c>
      <c r="K38" s="1006">
        <f>INDEX(TEMPLATE_NOTE_POINT_FHD,B38,MATCH(TEMPLATE_SPHERE,TEMPLATE_SPHERE_LIST_FOR_NOTE,0))</f>
        <v>0</v>
      </c>
      <c r="L38" s="845" t="str">
        <f>IF(I38=0,"",I38)</f>
        <v>2.8.2</v>
      </c>
      <c r="M38" s="845" t="str">
        <f>IF(J38=0,"",J38)</f>
        <v>Расходы на амортизацию нематериальных активов</v>
      </c>
      <c r="N38" s="845" t="str">
        <f>IF(K38=0,"",K38)</f>
        <v/>
      </c>
      <c r="O38" s="958" t="s">
        <v>2105</v>
      </c>
      <c r="P38" s="958" t="s">
        <v>2088</v>
      </c>
      <c r="Q38" s="958" t="s">
        <v>2105</v>
      </c>
      <c r="R38" s="958" t="s">
        <v>2088</v>
      </c>
      <c r="S38" s="958"/>
      <c r="T38" s="965" t="s">
        <v>2106</v>
      </c>
      <c r="U38" s="847" t="s">
        <v>2106</v>
      </c>
      <c r="V38" s="847" t="s">
        <v>2106</v>
      </c>
      <c r="W38" s="847" t="s">
        <v>2106</v>
      </c>
      <c r="X38" s="844"/>
      <c r="Y38" s="1001"/>
      <c r="Z38" s="847"/>
      <c r="AA38" s="850"/>
      <c r="AB38" s="847"/>
      <c r="AC38" s="847"/>
      <c r="AD38" s="847"/>
    </row>
    <row customHeight="1" ht="36">
      <c r="A39" s="846"/>
      <c r="B39" s="900">
        <v>22</v>
      </c>
      <c r="C39" s="844">
        <v>12</v>
      </c>
      <c r="D39" s="968"/>
      <c r="E39" s="844"/>
      <c r="F39" s="844"/>
      <c r="G39" s="892"/>
      <c r="H39" s="959"/>
      <c r="I39" s="1006" t="str">
        <f>INDEX(TEMPLATE_NUMBER_POINT_FHD,B39,MATCH(TEMPLATE_SPHERE,TEMPLATE_SPHERE_LIST_FOR_NOTE,0))</f>
        <v>2.9</v>
      </c>
      <c r="J39" s="1006" t="str">
        <f>INDEX(TEMPLATE_DATA_POINT_FHD,B39,MATCH(TEMPLATE_SPHERE,TEMPLATE_SPHERE_LIST_FOR_NOTE,0))</f>
        <v>Расходы на аренду имущества, используемого для осуществления регулируемого вида деятельности</v>
      </c>
      <c r="K39" s="1006">
        <f>INDEX(TEMPLATE_NOTE_POINT_FHD,B39,MATCH(TEMPLATE_SPHERE,TEMPLATE_SPHERE_LIST_FOR_NOTE,0))</f>
        <v>0</v>
      </c>
      <c r="L39" s="845" t="str">
        <f>IF(I39=0,"",I39)</f>
        <v>2.9</v>
      </c>
      <c r="M39" s="845" t="str">
        <f>IF(J39=0,"",J39)</f>
        <v>Расходы на аренду имущества, используемого для осуществления регулируемого вида деятельности</v>
      </c>
      <c r="N39" s="845" t="str">
        <f>IF(K39=0,"",K39)</f>
        <v/>
      </c>
      <c r="O39" s="958" t="s">
        <v>764</v>
      </c>
      <c r="P39" s="958" t="s">
        <v>758</v>
      </c>
      <c r="Q39" s="958" t="s">
        <v>764</v>
      </c>
      <c r="R39" s="958" t="s">
        <v>758</v>
      </c>
      <c r="S39" s="958"/>
      <c r="T39" s="965" t="s">
        <v>2107</v>
      </c>
      <c r="U39" s="847" t="s">
        <v>2108</v>
      </c>
      <c r="V39" s="847" t="s">
        <v>2109</v>
      </c>
      <c r="W39" s="847" t="s">
        <v>2110</v>
      </c>
      <c r="X39" s="844"/>
      <c r="Y39" s="1001"/>
      <c r="Z39" s="847"/>
      <c r="AA39" s="850"/>
      <c r="AB39" s="847"/>
      <c r="AC39" s="847"/>
      <c r="AD39" s="847"/>
    </row>
    <row customHeight="1" ht="18">
      <c r="A40" s="846"/>
      <c r="B40" s="900">
        <v>23</v>
      </c>
      <c r="C40" s="844">
        <v>13</v>
      </c>
      <c r="D40" s="968"/>
      <c r="E40" s="844"/>
      <c r="F40" s="844"/>
      <c r="G40" s="844"/>
      <c r="H40" s="895"/>
      <c r="I40" s="1006" t="str">
        <f>INDEX(TEMPLATE_NUMBER_POINT_FHD,B40,MATCH(TEMPLATE_SPHERE,TEMPLATE_SPHERE_LIST_FOR_NOTE,0))</f>
        <v>2.10</v>
      </c>
      <c r="J40" s="1006" t="str">
        <f>INDEX(TEMPLATE_DATA_POINT_FHD,B40,MATCH(TEMPLATE_SPHERE,TEMPLATE_SPHERE_LIST_FOR_NOTE,0))</f>
        <v>Общепроизводственные расходы, в том числе:</v>
      </c>
      <c r="K40" s="1006" t="str">
        <f>INDEX(TEMPLATE_NOTE_POINT_FHD,B40,MATCH(TEMPLATE_SPHERE,TEMPLATE_SPHERE_LIST_FOR_NOTE,0))</f>
        <v>Указывается общая сумма общепроизводственных расходов.</v>
      </c>
      <c r="L40" s="845" t="str">
        <f>IF(I40=0,"",I40)</f>
        <v>2.10</v>
      </c>
      <c r="M40" s="845" t="str">
        <f>IF(J40=0,"",J40)</f>
        <v>Общепроизводственные расходы, в том числе:</v>
      </c>
      <c r="N40" s="845" t="str">
        <f>IF(K40=0,"",K40)</f>
        <v>Указывается общая сумма общепроизводственных расходов.</v>
      </c>
      <c r="O40" s="958" t="s">
        <v>2111</v>
      </c>
      <c r="P40" s="958" t="s">
        <v>760</v>
      </c>
      <c r="Q40" s="958" t="s">
        <v>2111</v>
      </c>
      <c r="R40" s="958" t="s">
        <v>760</v>
      </c>
      <c r="S40" s="958"/>
      <c r="T40" s="844" t="s">
        <v>2112</v>
      </c>
      <c r="U40" s="844" t="s">
        <v>2112</v>
      </c>
      <c r="V40" s="844" t="s">
        <v>2112</v>
      </c>
      <c r="W40" s="844" t="s">
        <v>2112</v>
      </c>
      <c r="X40" s="844"/>
      <c r="Y40" s="1001"/>
      <c r="Z40" s="847" t="s">
        <v>2113</v>
      </c>
      <c r="AA40" s="850" t="s">
        <v>2113</v>
      </c>
      <c r="AB40" s="850" t="s">
        <v>2113</v>
      </c>
      <c r="AC40" s="850" t="s">
        <v>2113</v>
      </c>
      <c r="AD40" s="847"/>
    </row>
    <row customHeight="1" ht="27">
      <c r="A41" s="846"/>
      <c r="B41" s="900">
        <v>24</v>
      </c>
      <c r="C41" s="844" t="s">
        <v>2114</v>
      </c>
      <c r="D41" s="968"/>
      <c r="E41" s="844"/>
      <c r="F41" s="844"/>
      <c r="G41" s="844"/>
      <c r="H41" s="892"/>
      <c r="I41" s="1006" t="str">
        <f>INDEX(TEMPLATE_NUMBER_POINT_FHD,B41,MATCH(TEMPLATE_SPHERE,TEMPLATE_SPHERE_LIST_FOR_NOTE,0))</f>
        <v>2.10.1</v>
      </c>
      <c r="J41" s="1006" t="str">
        <f>INDEX(TEMPLATE_DATA_POINT_FHD,B41,MATCH(TEMPLATE_SPHERE,TEMPLATE_SPHERE_LIST_FOR_NOTE,0))</f>
        <v>Расходы на текущий ремонт</v>
      </c>
      <c r="K41" s="1006" t="str">
        <f>INDEX(TEMPLATE_NOTE_POINT_FHD,B41,MATCH(TEMPLATE_SPHERE,TEMPLATE_SPHERE_LIST_FOR_NOTE,0))</f>
        <v>Указываются расходы на текущий ремонт, отнесенные к общепроизводственным расходам.</v>
      </c>
      <c r="L41" s="845" t="str">
        <f>IF(I41=0,"",I41)</f>
        <v>2.10.1</v>
      </c>
      <c r="M41" s="845" t="str">
        <f>IF(J41=0,"",J41)</f>
        <v>Расходы на текущий ремонт</v>
      </c>
      <c r="N41" s="845" t="str">
        <f>IF(K41=0,"",K41)</f>
        <v>Указываются расходы на текущий ремонт, отнесенные к общепроизводственным расходам.</v>
      </c>
      <c r="O41" s="958" t="s">
        <v>2115</v>
      </c>
      <c r="P41" s="958" t="s">
        <v>2102</v>
      </c>
      <c r="Q41" s="958" t="s">
        <v>2115</v>
      </c>
      <c r="R41" s="958" t="s">
        <v>2102</v>
      </c>
      <c r="S41" s="958"/>
      <c r="T41" s="844" t="s">
        <v>2116</v>
      </c>
      <c r="U41" s="844" t="s">
        <v>2116</v>
      </c>
      <c r="V41" s="844" t="s">
        <v>2116</v>
      </c>
      <c r="W41" s="844" t="s">
        <v>2116</v>
      </c>
      <c r="X41" s="844"/>
      <c r="Y41" s="1001"/>
      <c r="Z41" s="847" t="s">
        <v>2117</v>
      </c>
      <c r="AA41" s="847" t="s">
        <v>2117</v>
      </c>
      <c r="AB41" s="847" t="s">
        <v>2117</v>
      </c>
      <c r="AC41" s="847" t="s">
        <v>2117</v>
      </c>
      <c r="AD41" s="847"/>
    </row>
    <row customHeight="1" ht="27">
      <c r="A42" s="846"/>
      <c r="B42" s="900">
        <v>25</v>
      </c>
      <c r="C42" s="844" t="s">
        <v>2118</v>
      </c>
      <c r="D42" s="968"/>
      <c r="E42" s="844"/>
      <c r="F42" s="844"/>
      <c r="G42" s="844"/>
      <c r="H42" s="892"/>
      <c r="I42" s="1006" t="str">
        <f>INDEX(TEMPLATE_NUMBER_POINT_FHD,B42,MATCH(TEMPLATE_SPHERE,TEMPLATE_SPHERE_LIST_FOR_NOTE,0))</f>
        <v>2.10.2</v>
      </c>
      <c r="J42" s="1006" t="str">
        <f>INDEX(TEMPLATE_DATA_POINT_FHD,B42,MATCH(TEMPLATE_SPHERE,TEMPLATE_SPHERE_LIST_FOR_NOTE,0))</f>
        <v>Расходы на капитальный ремонт</v>
      </c>
      <c r="K42" s="1006" t="str">
        <f>INDEX(TEMPLATE_NOTE_POINT_FHD,B42,MATCH(TEMPLATE_SPHERE,TEMPLATE_SPHERE_LIST_FOR_NOTE,0))</f>
        <v>Указываются расходы на капитальный ремонт, отнесенные к общепроизводственным расходам.</v>
      </c>
      <c r="L42" s="845" t="str">
        <f>IF(I42=0,"",I42)</f>
        <v>2.10.2</v>
      </c>
      <c r="M42" s="845" t="str">
        <f>IF(J42=0,"",J42)</f>
        <v>Расходы на капитальный ремонт</v>
      </c>
      <c r="N42" s="845" t="str">
        <f>IF(K42=0,"",K42)</f>
        <v>Указываются расходы на капитальный ремонт, отнесенные к общепроизводственным расходам.</v>
      </c>
      <c r="O42" s="958" t="s">
        <v>2119</v>
      </c>
      <c r="P42" s="958" t="s">
        <v>2105</v>
      </c>
      <c r="Q42" s="958" t="s">
        <v>2119</v>
      </c>
      <c r="R42" s="958" t="s">
        <v>2105</v>
      </c>
      <c r="S42" s="958"/>
      <c r="T42" s="844" t="s">
        <v>2120</v>
      </c>
      <c r="U42" s="844" t="s">
        <v>2120</v>
      </c>
      <c r="V42" s="844" t="s">
        <v>2120</v>
      </c>
      <c r="W42" s="844" t="s">
        <v>2120</v>
      </c>
      <c r="X42" s="844"/>
      <c r="Y42" s="1001"/>
      <c r="Z42" s="847" t="s">
        <v>2121</v>
      </c>
      <c r="AA42" s="847" t="s">
        <v>2121</v>
      </c>
      <c r="AB42" s="847" t="s">
        <v>2121</v>
      </c>
      <c r="AC42" s="847" t="s">
        <v>2121</v>
      </c>
      <c r="AD42" s="847"/>
    </row>
    <row customHeight="1" ht="18">
      <c r="A43" s="846"/>
      <c r="B43" s="900">
        <v>26</v>
      </c>
      <c r="C43" s="844">
        <v>14</v>
      </c>
      <c r="D43" s="968"/>
      <c r="E43" s="844"/>
      <c r="F43" s="844"/>
      <c r="G43" s="844"/>
      <c r="H43" s="892"/>
      <c r="I43" s="1006" t="str">
        <f>INDEX(TEMPLATE_NUMBER_POINT_FHD,B43,MATCH(TEMPLATE_SPHERE,TEMPLATE_SPHERE_LIST_FOR_NOTE,0))</f>
        <v>2.11</v>
      </c>
      <c r="J43" s="1006" t="str">
        <f>INDEX(TEMPLATE_DATA_POINT_FHD,B43,MATCH(TEMPLATE_SPHERE,TEMPLATE_SPHERE_LIST_FOR_NOTE,0))</f>
        <v>Общехозяйственные расходы, в том числе:</v>
      </c>
      <c r="K43" s="1006" t="str">
        <f>INDEX(TEMPLATE_NOTE_POINT_FHD,B43,MATCH(TEMPLATE_SPHERE,TEMPLATE_SPHERE_LIST_FOR_NOTE,0))</f>
        <v>Указывается общая сумма общехозяйственных расходов.</v>
      </c>
      <c r="L43" s="845" t="str">
        <f>IF(I43=0,"",I43)</f>
        <v>2.11</v>
      </c>
      <c r="M43" s="845" t="str">
        <f>IF(J43=0,"",J43)</f>
        <v>Общехозяйственные расходы, в том числе:</v>
      </c>
      <c r="N43" s="845" t="str">
        <f>IF(K43=0,"",K43)</f>
        <v>Указывается общая сумма общехозяйственных расходов.</v>
      </c>
      <c r="O43" s="958" t="s">
        <v>2122</v>
      </c>
      <c r="P43" s="958" t="s">
        <v>764</v>
      </c>
      <c r="Q43" s="958" t="s">
        <v>2122</v>
      </c>
      <c r="R43" s="958" t="s">
        <v>764</v>
      </c>
      <c r="S43" s="958"/>
      <c r="T43" s="844" t="s">
        <v>2123</v>
      </c>
      <c r="U43" s="844" t="s">
        <v>2123</v>
      </c>
      <c r="V43" s="844" t="s">
        <v>2123</v>
      </c>
      <c r="W43" s="844" t="s">
        <v>2123</v>
      </c>
      <c r="X43" s="844"/>
      <c r="Y43" s="1001"/>
      <c r="Z43" s="847" t="s">
        <v>2124</v>
      </c>
      <c r="AA43" s="847" t="s">
        <v>2124</v>
      </c>
      <c r="AB43" s="847" t="s">
        <v>2124</v>
      </c>
      <c r="AC43" s="847" t="s">
        <v>2124</v>
      </c>
      <c r="AD43" s="847"/>
    </row>
    <row customHeight="1" ht="27">
      <c r="A44" s="846"/>
      <c r="B44" s="900">
        <v>27</v>
      </c>
      <c r="C44" s="844" t="s">
        <v>2125</v>
      </c>
      <c r="D44" s="968"/>
      <c r="E44" s="844"/>
      <c r="F44" s="844"/>
      <c r="G44" s="844"/>
      <c r="H44" s="892"/>
      <c r="I44" s="1006" t="str">
        <f>INDEX(TEMPLATE_NUMBER_POINT_FHD,B44,MATCH(TEMPLATE_SPHERE,TEMPLATE_SPHERE_LIST_FOR_NOTE,0))</f>
        <v>2.11.1</v>
      </c>
      <c r="J44" s="1006" t="str">
        <f>INDEX(TEMPLATE_DATA_POINT_FHD,B44,MATCH(TEMPLATE_SPHERE,TEMPLATE_SPHERE_LIST_FOR_NOTE,0))</f>
        <v>Расходы на текущий ремонт</v>
      </c>
      <c r="K44" s="1006" t="str">
        <f>INDEX(TEMPLATE_NOTE_POINT_FHD,B44,MATCH(TEMPLATE_SPHERE,TEMPLATE_SPHERE_LIST_FOR_NOTE,0))</f>
        <v>Указываются расходы на текущий ремонт, отнесенные к общехозяйственным расходам.</v>
      </c>
      <c r="L44" s="845" t="str">
        <f>IF(I44=0,"",I44)</f>
        <v>2.11.1</v>
      </c>
      <c r="M44" s="845" t="str">
        <f>IF(J44=0,"",J44)</f>
        <v>Расходы на текущий ремонт</v>
      </c>
      <c r="N44" s="845" t="str">
        <f>IF(K44=0,"",K44)</f>
        <v>Указываются расходы на текущий ремонт, отнесенные к общехозяйственным расходам.</v>
      </c>
      <c r="O44" s="958" t="s">
        <v>2126</v>
      </c>
      <c r="P44" s="958" t="s">
        <v>2127</v>
      </c>
      <c r="Q44" s="958" t="s">
        <v>2126</v>
      </c>
      <c r="R44" s="958" t="s">
        <v>2127</v>
      </c>
      <c r="S44" s="958"/>
      <c r="T44" s="844" t="s">
        <v>2116</v>
      </c>
      <c r="U44" s="844" t="s">
        <v>2116</v>
      </c>
      <c r="V44" s="844" t="s">
        <v>2116</v>
      </c>
      <c r="W44" s="844" t="s">
        <v>2116</v>
      </c>
      <c r="X44" s="844"/>
      <c r="Y44" s="1001"/>
      <c r="Z44" s="847" t="s">
        <v>2128</v>
      </c>
      <c r="AA44" s="847" t="s">
        <v>2128</v>
      </c>
      <c r="AB44" s="847" t="s">
        <v>2128</v>
      </c>
      <c r="AC44" s="847" t="s">
        <v>2128</v>
      </c>
      <c r="AD44" s="847"/>
    </row>
    <row customHeight="1" ht="27">
      <c r="A45" s="846"/>
      <c r="B45" s="900">
        <v>28</v>
      </c>
      <c r="C45" s="844" t="s">
        <v>2129</v>
      </c>
      <c r="D45" s="968"/>
      <c r="E45" s="844"/>
      <c r="F45" s="844"/>
      <c r="G45" s="844"/>
      <c r="H45" s="892"/>
      <c r="I45" s="1006" t="str">
        <f>INDEX(TEMPLATE_NUMBER_POINT_FHD,B45,MATCH(TEMPLATE_SPHERE,TEMPLATE_SPHERE_LIST_FOR_NOTE,0))</f>
        <v>2.11.2</v>
      </c>
      <c r="J45" s="1006" t="str">
        <f>INDEX(TEMPLATE_DATA_POINT_FHD,B45,MATCH(TEMPLATE_SPHERE,TEMPLATE_SPHERE_LIST_FOR_NOTE,0))</f>
        <v>Расходы на капитальный ремонт</v>
      </c>
      <c r="K45" s="1006" t="str">
        <f>INDEX(TEMPLATE_NOTE_POINT_FHD,B45,MATCH(TEMPLATE_SPHERE,TEMPLATE_SPHERE_LIST_FOR_NOTE,0))</f>
        <v>Указываются расходы на капитальный ремонт, отнесенные к общехозяйственным расходам.</v>
      </c>
      <c r="L45" s="845" t="str">
        <f>IF(I45=0,"",I45)</f>
        <v>2.11.2</v>
      </c>
      <c r="M45" s="845" t="str">
        <f>IF(J45=0,"",J45)</f>
        <v>Расходы на капитальный ремонт</v>
      </c>
      <c r="N45" s="845" t="str">
        <f>IF(K45=0,"",K45)</f>
        <v>Указываются расходы на капитальный ремонт, отнесенные к общехозяйственным расходам.</v>
      </c>
      <c r="O45" s="958" t="s">
        <v>2130</v>
      </c>
      <c r="P45" s="958" t="s">
        <v>2131</v>
      </c>
      <c r="Q45" s="958" t="s">
        <v>2130</v>
      </c>
      <c r="R45" s="958" t="s">
        <v>2131</v>
      </c>
      <c r="S45" s="958"/>
      <c r="T45" s="844" t="s">
        <v>2120</v>
      </c>
      <c r="U45" s="844" t="s">
        <v>2120</v>
      </c>
      <c r="V45" s="844" t="s">
        <v>2120</v>
      </c>
      <c r="W45" s="844" t="s">
        <v>2120</v>
      </c>
      <c r="X45" s="844"/>
      <c r="Y45" s="1001"/>
      <c r="Z45" s="847" t="s">
        <v>2132</v>
      </c>
      <c r="AA45" s="847" t="s">
        <v>2132</v>
      </c>
      <c r="AB45" s="847" t="s">
        <v>2132</v>
      </c>
      <c r="AC45" s="847" t="s">
        <v>2132</v>
      </c>
      <c r="AD45" s="847"/>
    </row>
    <row customHeight="1" ht="54">
      <c r="A46" s="846"/>
      <c r="B46" s="900">
        <v>29</v>
      </c>
      <c r="C46" s="844">
        <v>15</v>
      </c>
      <c r="D46" s="968"/>
      <c r="E46" s="844"/>
      <c r="F46" s="844"/>
      <c r="G46" s="844"/>
      <c r="H46" s="892"/>
      <c r="I46" s="1006" t="str">
        <f>INDEX(TEMPLATE_NUMBER_POINT_FHD,B46,MATCH(TEMPLATE_SPHERE,TEMPLATE_SPHERE_LIST_FOR_NOTE,0))</f>
        <v>2.12</v>
      </c>
      <c r="J46" s="1006" t="str">
        <f>INDEX(TEMPLATE_DATA_POINT_FHD,B46,MATCH(TEMPLATE_SPHERE,TEMPLATE_SPHERE_LIST_FOR_NOTE,0))</f>
        <v>Расходы на капитальный и текущий ремонт основных средств</v>
      </c>
      <c r="K46" s="1006" t="str">
        <f>INDEX(TEMPLATE_NOTE_POINT_FHD,B46,MATCH(TEMPLATE_SPHERE,TEMPLATE_SPHERE_LIST_FOR_NOTE,0))</f>
        <v>Указывается информация об объемах товаров и услуг, их стоимости и о способах приобретения у тех организаций, сумма оплаты услуг которых превышает 20 процентов суммы расходов по указанной статье расходов</v>
      </c>
      <c r="L46" s="845" t="str">
        <f>IF(I46=0,"",I46)</f>
        <v>2.12</v>
      </c>
      <c r="M46" s="845" t="str">
        <f>IF(J46=0,"",J46)</f>
        <v>Расходы на капитальный и текущий ремонт основных средств</v>
      </c>
      <c r="N46" s="845" t="str">
        <f>IF(K46=0,"",K46)</f>
        <v>Указывается информация об объемах товаров и услуг, их стоимости и о способах приобретения у тех организаций, сумма оплаты услуг которых превышает 20 процентов суммы расходов по указанной статье расходов</v>
      </c>
      <c r="O46" s="958" t="s">
        <v>2133</v>
      </c>
      <c r="P46" s="958" t="s">
        <v>2111</v>
      </c>
      <c r="Q46" s="958" t="s">
        <v>2133</v>
      </c>
      <c r="R46" s="958" t="s">
        <v>2111</v>
      </c>
      <c r="S46" s="958"/>
      <c r="T46" s="845" t="str">
        <f>"Расходы на капитальный и текущий ремонт основных"&amp;IF(TITLE_TYPE_ORG="Регулируемая организация",""," производственных")&amp;" средств"</f>
        <v>Расходы на капитальный и текущий ремонт основных средств</v>
      </c>
      <c r="U46" s="844" t="s">
        <v>2134</v>
      </c>
      <c r="V46" s="844" t="s">
        <v>2134</v>
      </c>
      <c r="W46" s="844" t="s">
        <v>2134</v>
      </c>
      <c r="X46" s="844"/>
      <c r="Y46" s="1001"/>
      <c r="Z46" s="847" t="s">
        <v>2135</v>
      </c>
      <c r="AA46" s="847" t="s">
        <v>2136</v>
      </c>
      <c r="AB46" s="847" t="s">
        <v>2136</v>
      </c>
      <c r="AC46" s="847" t="s">
        <v>2136</v>
      </c>
      <c r="AD46" s="847"/>
    </row>
    <row customHeight="1" ht="54">
      <c r="A47" s="846"/>
      <c r="B47" s="900">
        <v>30</v>
      </c>
      <c r="C47" s="844" t="s">
        <v>2137</v>
      </c>
      <c r="D47" s="968"/>
      <c r="E47" s="844"/>
      <c r="F47" s="844"/>
      <c r="G47" s="844"/>
      <c r="H47" s="892"/>
      <c r="I47" s="1006" t="str">
        <f>INDEX(TEMPLATE_NUMBER_POINT_FHD,B47,MATCH(TEMPLATE_SPHERE,TEMPLATE_SPHERE_LIST_FOR_NOTE,0))</f>
        <v>2.12.1</v>
      </c>
      <c r="J47" s="1006" t="str">
        <f>INDEX(TEMPLATE_DATA_POINT_FHD,B47,MATCH(TEMPLATE_SPHERE,TEMPLATE_SPHERE_LIST_FOR_NOTE,0))</f>
        <v>Информация об объемах товаров и услуг, их стоимости и способах приобретения у тех организаций, сумма оплаты услуг которых превышает 20 процентов суммы расходов по указанной статье расходов</v>
      </c>
      <c r="K47" s="1006">
        <f>INDEX(TEMPLATE_NOTE_POINT_FHD,B47,MATCH(TEMPLATE_SPHERE,TEMPLATE_SPHERE_LIST_FOR_NOTE,0))</f>
        <v>0</v>
      </c>
      <c r="L47" s="845" t="str">
        <f>IF(I47=0,"",I47)</f>
        <v>2.12.1</v>
      </c>
      <c r="M47" s="845" t="str">
        <f>IF(J47=0,"",J47)</f>
        <v>Информация об объемах товаров и услуг, их стоимости и способах приобретения у тех организаций, сумма оплаты услуг которых превышает 20 процентов суммы расходов по указанной статье расходов</v>
      </c>
      <c r="N47" s="845" t="str">
        <f>IF(K47=0,"",K47)</f>
        <v/>
      </c>
      <c r="O47" s="958" t="s">
        <v>2138</v>
      </c>
      <c r="P47" s="958" t="s">
        <v>2115</v>
      </c>
      <c r="Q47" s="958" t="s">
        <v>2138</v>
      </c>
      <c r="R47" s="958" t="s">
        <v>2115</v>
      </c>
      <c r="S47" s="958"/>
      <c r="T47" s="844" t="s">
        <v>2139</v>
      </c>
      <c r="U47" s="844" t="s">
        <v>2139</v>
      </c>
      <c r="V47" s="844" t="s">
        <v>2139</v>
      </c>
      <c r="W47" s="844" t="s">
        <v>2139</v>
      </c>
      <c r="X47" s="844"/>
      <c r="Y47" s="1001"/>
      <c r="Z47" s="847"/>
      <c r="AA47" s="850"/>
      <c r="AB47" s="850"/>
      <c r="AC47" s="850"/>
      <c r="AD47" s="847"/>
    </row>
    <row customHeight="1" ht="54">
      <c r="A48" s="846"/>
      <c r="B48" s="900">
        <v>31</v>
      </c>
      <c r="C48" s="844">
        <v>16</v>
      </c>
      <c r="D48" s="968"/>
      <c r="E48" s="844"/>
      <c r="F48" s="844"/>
      <c r="G48" s="844"/>
      <c r="H48" s="892"/>
      <c r="I48" s="1006">
        <f>INDEX(TEMPLATE_NUMBER_POINT_FHD,B48,MATCH(TEMPLATE_SPHERE,TEMPLATE_SPHERE_LIST_FOR_NOTE,0))</f>
        <v>0</v>
      </c>
      <c r="J48" s="1006">
        <f>INDEX(TEMPLATE_DATA_POINT_FHD,B48,MATCH(TEMPLATE_SPHERE,TEMPLATE_SPHERE_LIST_FOR_NOTE,0))</f>
        <v>0</v>
      </c>
      <c r="K48" s="1006">
        <f>INDEX(TEMPLATE_NOTE_POINT_FHD,B48,MATCH(TEMPLATE_SPHERE,TEMPLATE_SPHERE_LIST_FOR_NOTE,0))</f>
        <v>0</v>
      </c>
      <c r="L48" s="845" t="str">
        <f>IF(I48=0,"",I48)</f>
        <v/>
      </c>
      <c r="M48" s="845" t="str">
        <f>IF(J48=0,"",J48)</f>
        <v/>
      </c>
      <c r="N48" s="845" t="str">
        <f>IF(K48=0,"",K48)</f>
        <v/>
      </c>
      <c r="O48" s="958"/>
      <c r="P48" s="958" t="s">
        <v>2122</v>
      </c>
      <c r="Q48" s="958" t="s">
        <v>2140</v>
      </c>
      <c r="R48" s="958" t="s">
        <v>2122</v>
      </c>
      <c r="S48" s="958"/>
      <c r="T48" s="844"/>
      <c r="U48" s="844" t="s">
        <v>2141</v>
      </c>
      <c r="V48" s="844" t="s">
        <v>2142</v>
      </c>
      <c r="W48" s="844" t="s">
        <v>2142</v>
      </c>
      <c r="X48" s="844"/>
      <c r="Y48" s="1001"/>
      <c r="Z48" s="847"/>
      <c r="AA48" s="850" t="s">
        <v>2136</v>
      </c>
      <c r="AB48" s="850" t="s">
        <v>2136</v>
      </c>
      <c r="AC48" s="850" t="s">
        <v>2136</v>
      </c>
      <c r="AD48" s="847"/>
    </row>
    <row customHeight="1" ht="54">
      <c r="A49" s="846"/>
      <c r="B49" s="900">
        <v>32</v>
      </c>
      <c r="C49" s="844" t="s">
        <v>2143</v>
      </c>
      <c r="D49" s="968"/>
      <c r="E49" s="844"/>
      <c r="F49" s="844"/>
      <c r="G49" s="844"/>
      <c r="H49" s="892"/>
      <c r="I49" s="1006">
        <f>INDEX(TEMPLATE_NUMBER_POINT_FHD,B49,MATCH(TEMPLATE_SPHERE,TEMPLATE_SPHERE_LIST_FOR_NOTE,0))</f>
        <v>0</v>
      </c>
      <c r="J49" s="1006">
        <f>INDEX(TEMPLATE_DATA_POINT_FHD,B49,MATCH(TEMPLATE_SPHERE,TEMPLATE_SPHERE_LIST_FOR_NOTE,0))</f>
        <v>0</v>
      </c>
      <c r="K49" s="1006">
        <f>INDEX(TEMPLATE_NOTE_POINT_FHD,B49,MATCH(TEMPLATE_SPHERE,TEMPLATE_SPHERE_LIST_FOR_NOTE,0))</f>
        <v>0</v>
      </c>
      <c r="L49" s="845" t="str">
        <f>IF(I49=0,"",I49)</f>
        <v/>
      </c>
      <c r="M49" s="845" t="str">
        <f>IF(J49=0,"",J49)</f>
        <v/>
      </c>
      <c r="N49" s="845" t="str">
        <f>IF(K49=0,"",K49)</f>
        <v/>
      </c>
      <c r="O49" s="958"/>
      <c r="P49" s="958" t="s">
        <v>2126</v>
      </c>
      <c r="Q49" s="958" t="s">
        <v>2144</v>
      </c>
      <c r="R49" s="958" t="s">
        <v>2126</v>
      </c>
      <c r="S49" s="958"/>
      <c r="T49" s="844"/>
      <c r="U49" s="844" t="s">
        <v>2139</v>
      </c>
      <c r="V49" s="844" t="s">
        <v>2139</v>
      </c>
      <c r="W49" s="844" t="s">
        <v>2139</v>
      </c>
      <c r="X49" s="844"/>
      <c r="Y49" s="1001"/>
      <c r="Z49" s="847"/>
      <c r="AA49" s="850"/>
      <c r="AB49" s="850"/>
      <c r="AC49" s="850"/>
      <c r="AD49" s="847"/>
    </row>
    <row customHeight="1" ht="126">
      <c r="A50" s="846"/>
      <c r="B50" s="900">
        <v>33</v>
      </c>
      <c r="C50" s="844">
        <v>17</v>
      </c>
      <c r="D50" s="968"/>
      <c r="E50" s="844"/>
      <c r="F50" s="844"/>
      <c r="G50" s="844"/>
      <c r="H50" s="892"/>
      <c r="I50" s="1006" t="str">
        <f>INDEX(TEMPLATE_NUMBER_POINT_FHD,B50,MATCH(TEMPLATE_SPHERE,TEMPLATE_SPHERE_LIST_FOR_NOTE,0))</f>
        <v>2.13</v>
      </c>
      <c r="J50" s="1006" t="str">
        <f>INDEX(TEMPLATE_DATA_POINT_FHD,B50,MATCH(TEMPLATE_SPHERE,TEMPLATE_SPHERE_LIST_FOR_NOTE,0))</f>
        <v>Прочие расходы, которые подлежат отнесению на регулируемые виды деятельности в соответствии с законодательством Российской Федерации</v>
      </c>
      <c r="K50" s="1006" t="str">
        <f>INDEX(TEMPLATE_NOTE_POINT_FHD,B50,MATCH(TEMPLATE_SPHERE,TEMPLATE_SPHERE_LIST_FOR_NOTE,0))</f>
        <v>Указывается общая сумма прочих расходов, которые подлежат отнесению на регулируемые виды деятельности в соответствии с законодательством в сфере теплоснабжения.</v>
      </c>
      <c r="L50" s="845" t="str">
        <f>IF(I50=0,"",I50)</f>
        <v>2.13</v>
      </c>
      <c r="M50" s="845" t="str">
        <f>IF(J50=0,"",J50)</f>
        <v>Прочие расходы, которые подлежат отнесению на регулируемые виды деятельности в соответствии с законодательством Российской Федерации</v>
      </c>
      <c r="N50" s="845" t="str">
        <f>IF(K50=0,"",K50)</f>
        <v>Указывается общая сумма прочих расходов, которые подлежат отнесению на регулируемые виды деятельности в соответствии с законодательством в сфере теплоснабжения.</v>
      </c>
      <c r="O50" s="958" t="s">
        <v>2140</v>
      </c>
      <c r="P50" s="958" t="s">
        <v>2133</v>
      </c>
      <c r="Q50" s="958" t="s">
        <v>2145</v>
      </c>
      <c r="R50" s="958" t="s">
        <v>2133</v>
      </c>
      <c r="S50" s="958"/>
      <c r="T50" s="844" t="s">
        <v>2146</v>
      </c>
      <c r="U50" s="844" t="s">
        <v>2147</v>
      </c>
      <c r="V50" s="844" t="s">
        <v>2148</v>
      </c>
      <c r="W50" s="844" t="s">
        <v>2149</v>
      </c>
      <c r="X50" s="844"/>
      <c r="Y50" s="1001"/>
      <c r="Z50" s="847" t="s">
        <v>2150</v>
      </c>
      <c r="AA50" s="850" t="s">
        <v>2151</v>
      </c>
      <c r="AB50" s="850" t="s">
        <v>2151</v>
      </c>
      <c r="AC50" s="850" t="s">
        <v>2151</v>
      </c>
      <c r="AD50" s="847"/>
    </row>
    <row customHeight="1" ht="27">
      <c r="A51" s="846"/>
      <c r="B51" s="900">
        <v>34</v>
      </c>
      <c r="C51" s="844" t="s">
        <v>2152</v>
      </c>
      <c r="D51" s="968"/>
      <c r="E51" s="844"/>
      <c r="F51" s="844"/>
      <c r="G51" s="844"/>
      <c r="H51" s="892"/>
      <c r="I51" s="1006" t="str">
        <f>INDEX(TEMPLATE_NUMBER_POINT_FHD,B51,MATCH(TEMPLATE_SPHERE,TEMPLATE_SPHERE_LIST_FOR_NOTE,0))</f>
        <v>3</v>
      </c>
      <c r="J51" s="1006" t="str">
        <f>INDEX(TEMPLATE_DATA_POINT_FHD,B51,MATCH(TEMPLATE_SPHERE,TEMPLATE_SPHERE_LIST_FOR_NOTE,0))</f>
        <v>Валовая прибыль (убытки) от реализации товаров и оказания услуг по регулируемому виду деятельности</v>
      </c>
      <c r="K51" s="1006">
        <f>INDEX(TEMPLATE_NOTE_POINT_FHD,B51,MATCH(TEMPLATE_SPHERE,TEMPLATE_SPHERE_LIST_FOR_NOTE,0))</f>
        <v>0</v>
      </c>
      <c r="L51" s="845" t="str">
        <f>IF(I51=0,"",I51)</f>
        <v>3</v>
      </c>
      <c r="M51" s="845" t="str">
        <f>IF(J51=0,"",J51)</f>
        <v>Валовая прибыль (убытки) от реализации товаров и оказания услуг по регулируемому виду деятельности</v>
      </c>
      <c r="N51" s="845" t="str">
        <f>IF(K51=0,"",K51)</f>
        <v/>
      </c>
      <c r="O51" s="958" t="s">
        <v>91</v>
      </c>
      <c r="P51" s="958"/>
      <c r="Q51" s="958"/>
      <c r="R51" s="958"/>
      <c r="S51" s="958"/>
      <c r="T51" s="844" t="s">
        <v>2153</v>
      </c>
      <c r="U51" s="844"/>
      <c r="V51" s="844"/>
      <c r="W51" s="844"/>
      <c r="X51" s="844"/>
      <c r="Y51" s="1001"/>
      <c r="Z51" s="847"/>
      <c r="AA51" s="850"/>
      <c r="AB51" s="850"/>
      <c r="AC51" s="850"/>
      <c r="AD51" s="847"/>
    </row>
    <row customHeight="1" ht="36">
      <c r="A52" s="846"/>
      <c r="B52" s="900">
        <v>35</v>
      </c>
      <c r="C52" s="844" t="s">
        <v>2046</v>
      </c>
      <c r="D52" s="968" t="s">
        <v>2046</v>
      </c>
      <c r="E52" s="844" t="s">
        <v>2046</v>
      </c>
      <c r="F52" s="844" t="s">
        <v>2046</v>
      </c>
      <c r="G52" s="844"/>
      <c r="H52" s="892"/>
      <c r="I52" s="1006" t="str">
        <f>INDEX(TEMPLATE_NUMBER_POINT_FHD,B52,MATCH(TEMPLATE_SPHERE,TEMPLATE_SPHERE_LIST_FOR_NOTE,0))</f>
        <v>4</v>
      </c>
      <c r="J52" s="1006" t="str">
        <f>INDEX(TEMPLATE_DATA_POINT_FHD,B52,MATCH(TEMPLATE_SPHERE,TEMPLATE_SPHERE_LIST_FOR_NOTE,0))</f>
        <v>Чистая прибыль, полученная от регулируемого вида деятельности, в том числе:</v>
      </c>
      <c r="K52" s="1006" t="str">
        <f>INDEX(TEMPLATE_NOTE_POINT_FHD,B52,MATCH(TEMPLATE_SPHERE,TEMPLATE_SPHERE_LIST_FOR_NOTE,0))</f>
        <v>Указывается общая сумма чистой прибыли, полученной от регулируемого вида деятельности.</v>
      </c>
      <c r="L52" s="845" t="str">
        <f>IF(I52=0,"",I52)</f>
        <v>4</v>
      </c>
      <c r="M52" s="845" t="str">
        <f>IF(J52=0,"",J52)</f>
        <v>Чистая прибыль, полученная от регулируемого вида деятельности, в том числе:</v>
      </c>
      <c r="N52" s="845" t="str">
        <f>IF(K52=0,"",K52)</f>
        <v>Указывается общая сумма чистой прибыли, полученной от регулируемого вида деятельности.</v>
      </c>
      <c r="O52" s="958" t="s">
        <v>92</v>
      </c>
      <c r="P52" s="958" t="s">
        <v>91</v>
      </c>
      <c r="Q52" s="958" t="s">
        <v>91</v>
      </c>
      <c r="R52" s="958" t="s">
        <v>91</v>
      </c>
      <c r="S52" s="958"/>
      <c r="T52" s="844" t="s">
        <v>2154</v>
      </c>
      <c r="U52" s="844" t="s">
        <v>2155</v>
      </c>
      <c r="V52" s="844" t="s">
        <v>2156</v>
      </c>
      <c r="W52" s="844" t="s">
        <v>2157</v>
      </c>
      <c r="X52" s="844"/>
      <c r="Y52" s="1001"/>
      <c r="Z52" s="847" t="s">
        <v>768</v>
      </c>
      <c r="AA52" s="850" t="s">
        <v>768</v>
      </c>
      <c r="AB52" s="850" t="s">
        <v>768</v>
      </c>
      <c r="AC52" s="850" t="s">
        <v>768</v>
      </c>
      <c r="AD52" s="847"/>
    </row>
    <row customHeight="1" ht="36">
      <c r="A53" s="846"/>
      <c r="B53" s="900">
        <v>36</v>
      </c>
      <c r="C53" s="844">
        <v>1</v>
      </c>
      <c r="D53" s="968"/>
      <c r="E53" s="844"/>
      <c r="F53" s="844"/>
      <c r="G53" s="844"/>
      <c r="H53" s="892"/>
      <c r="I53" s="1006" t="str">
        <f>INDEX(TEMPLATE_NUMBER_POINT_FHD,B53,MATCH(TEMPLATE_SPHERE,TEMPLATE_SPHERE_LIST_FOR_NOTE,0))</f>
        <v>4.1</v>
      </c>
      <c r="J53" s="1006" t="str">
        <f>INDEX(TEMPLATE_DATA_POINT_FHD,B53,MATCH(TEMPLATE_SPHERE,TEMPLATE_SPHERE_LIST_FOR_NOTE,0))</f>
        <v>Размер расходования чистой прибыли на финансирование мероприятий, предусмотренных инвестиционной программой регулируемой организации</v>
      </c>
      <c r="K53" s="1006">
        <f>INDEX(TEMPLATE_NOTE_POINT_FHD,B53,MATCH(TEMPLATE_SPHERE,TEMPLATE_SPHERE_LIST_FOR_NOTE,0))</f>
        <v>0</v>
      </c>
      <c r="L53" s="845" t="str">
        <f>IF(I53=0,"",I53)</f>
        <v>4.1</v>
      </c>
      <c r="M53" s="845" t="str">
        <f>IF(J53=0,"",J53)</f>
        <v>Размер расходования чистой прибыли на финансирование мероприятий, предусмотренных инвестиционной программой регулируемой организации</v>
      </c>
      <c r="N53" s="845" t="str">
        <f>IF(K53=0,"",K53)</f>
        <v/>
      </c>
      <c r="O53" s="958" t="s">
        <v>772</v>
      </c>
      <c r="P53" s="958" t="s">
        <v>341</v>
      </c>
      <c r="Q53" s="958" t="s">
        <v>341</v>
      </c>
      <c r="R53" s="958" t="s">
        <v>341</v>
      </c>
      <c r="S53" s="958"/>
      <c r="T53" s="844" t="s">
        <v>2158</v>
      </c>
      <c r="U53" s="844" t="s">
        <v>2158</v>
      </c>
      <c r="V53" s="844" t="s">
        <v>2158</v>
      </c>
      <c r="W53" s="844" t="s">
        <v>2158</v>
      </c>
      <c r="X53" s="844"/>
      <c r="Y53" s="1001"/>
      <c r="Z53" s="847"/>
      <c r="AA53" s="850"/>
      <c r="AB53" s="847"/>
      <c r="AC53" s="847"/>
      <c r="AD53" s="847"/>
    </row>
    <row customHeight="1" ht="18">
      <c r="A54" s="846"/>
      <c r="B54" s="900">
        <v>37</v>
      </c>
      <c r="C54" s="844" t="s">
        <v>2052</v>
      </c>
      <c r="D54" s="968" t="s">
        <v>2052</v>
      </c>
      <c r="E54" s="844" t="s">
        <v>2052</v>
      </c>
      <c r="F54" s="844" t="s">
        <v>2052</v>
      </c>
      <c r="G54" s="844"/>
      <c r="H54" s="892"/>
      <c r="I54" s="1006" t="str">
        <f>INDEX(TEMPLATE_NUMBER_POINT_FHD,B54,MATCH(TEMPLATE_SPHERE,TEMPLATE_SPHERE_LIST_FOR_NOTE,0))</f>
        <v>5</v>
      </c>
      <c r="J54" s="1006" t="str">
        <f>INDEX(TEMPLATE_DATA_POINT_FHD,B54,MATCH(TEMPLATE_SPHERE,TEMPLATE_SPHERE_LIST_FOR_NOTE,0))</f>
        <v>Изменение стоимости основных фондов, в том числе:</v>
      </c>
      <c r="K54" s="1006" t="str">
        <f>INDEX(TEMPLATE_NOTE_POINT_FHD,B54,MATCH(TEMPLATE_SPHERE,TEMPLATE_SPHERE_LIST_FOR_NOTE,0))</f>
        <v>Указывается общее изменение стоимости основных фондов.</v>
      </c>
      <c r="L54" s="845" t="str">
        <f>IF(I54=0,"",I54)</f>
        <v>5</v>
      </c>
      <c r="M54" s="845" t="str">
        <f>IF(J54=0,"",J54)</f>
        <v>Изменение стоимости основных фондов, в том числе:</v>
      </c>
      <c r="N54" s="845" t="str">
        <f>IF(K54=0,"",K54)</f>
        <v>Указывается общее изменение стоимости основных фондов.</v>
      </c>
      <c r="O54" s="958" t="s">
        <v>119</v>
      </c>
      <c r="P54" s="958" t="s">
        <v>92</v>
      </c>
      <c r="Q54" s="958" t="s">
        <v>92</v>
      </c>
      <c r="R54" s="958" t="s">
        <v>92</v>
      </c>
      <c r="S54" s="958"/>
      <c r="T54" s="844" t="s">
        <v>770</v>
      </c>
      <c r="U54" s="844" t="s">
        <v>770</v>
      </c>
      <c r="V54" s="844" t="s">
        <v>770</v>
      </c>
      <c r="W54" s="844" t="s">
        <v>770</v>
      </c>
      <c r="X54" s="844"/>
      <c r="Y54" s="1001"/>
      <c r="Z54" s="847" t="s">
        <v>771</v>
      </c>
      <c r="AA54" s="847" t="s">
        <v>771</v>
      </c>
      <c r="AB54" s="847" t="s">
        <v>771</v>
      </c>
      <c r="AC54" s="847" t="s">
        <v>771</v>
      </c>
      <c r="AD54" s="847"/>
    </row>
    <row customHeight="1" ht="36">
      <c r="A55" s="846"/>
      <c r="B55" s="900">
        <v>38</v>
      </c>
      <c r="C55" s="844">
        <v>1</v>
      </c>
      <c r="D55" s="968"/>
      <c r="E55" s="844"/>
      <c r="F55" s="844"/>
      <c r="G55" s="844"/>
      <c r="H55" s="892"/>
      <c r="I55" s="1006" t="str">
        <f>INDEX(TEMPLATE_NUMBER_POINT_FHD,B55,MATCH(TEMPLATE_SPHERE,TEMPLATE_SPHERE_LIST_FOR_NOTE,0))</f>
        <v>5.1</v>
      </c>
      <c r="J55" s="1006" t="str">
        <f>INDEX(TEMPLATE_DATA_POINT_FHD,B55,MATCH(TEMPLATE_SPHERE,TEMPLATE_SPHERE_LIST_FOR_NOTE,0))</f>
        <v>Изменение стоимости основных фондов за счет:</v>
      </c>
      <c r="K55" s="1006" t="str">
        <f>INDEX(TEMPLATE_NOTE_POINT_FHD,B55,MATCH(TEMPLATE_SPHERE,TEMPLATE_SPHERE_LIST_FOR_NOTE,0))</f>
        <v>Указываются общее изменение стоимости основных фондов за счет их ввода в эксплуатацию и вывода из эксплуатации.</v>
      </c>
      <c r="L55" s="845" t="str">
        <f>IF(I55=0,"",I55)</f>
        <v>5.1</v>
      </c>
      <c r="M55" s="845" t="str">
        <f>IF(J55=0,"",J55)</f>
        <v>Изменение стоимости основных фондов за счет:</v>
      </c>
      <c r="N55" s="845" t="str">
        <f>IF(K55=0,"",K55)</f>
        <v>Указываются общее изменение стоимости основных фондов за счет их ввода в эксплуатацию и вывода из эксплуатации.</v>
      </c>
      <c r="O55" s="958" t="s">
        <v>330</v>
      </c>
      <c r="P55" s="958" t="s">
        <v>772</v>
      </c>
      <c r="Q55" s="958" t="s">
        <v>772</v>
      </c>
      <c r="R55" s="958" t="s">
        <v>772</v>
      </c>
      <c r="S55" s="958"/>
      <c r="T55" s="845" t="str">
        <f>IF(TITLE_TYPE_ORG="Регулируемая организация","Изменение стоимости основных фондов за счет:","за счет их ввода в эксплуатацию (вывода из эксплуатации)")</f>
        <v>Изменение стоимости основных фондов за счет:</v>
      </c>
      <c r="U55" s="844" t="s">
        <v>2159</v>
      </c>
      <c r="V55" s="844" t="s">
        <v>2159</v>
      </c>
      <c r="W55" s="844" t="s">
        <v>2159</v>
      </c>
      <c r="X55" s="844"/>
      <c r="Y55" s="1001"/>
      <c r="Z55" s="847" t="s">
        <v>2160</v>
      </c>
      <c r="AA55" s="847" t="s">
        <v>2160</v>
      </c>
      <c r="AB55" s="847" t="s">
        <v>2160</v>
      </c>
      <c r="AC55" s="847" t="s">
        <v>2160</v>
      </c>
      <c r="AD55" s="847"/>
    </row>
    <row customHeight="1" ht="27">
      <c r="A56" s="846"/>
      <c r="B56" s="900">
        <v>39</v>
      </c>
      <c r="C56" s="844" t="s">
        <v>1040</v>
      </c>
      <c r="D56" s="968"/>
      <c r="E56" s="844"/>
      <c r="F56" s="844"/>
      <c r="G56" s="844"/>
      <c r="H56" s="892"/>
      <c r="I56" s="1006" t="str">
        <f>INDEX(TEMPLATE_NUMBER_POINT_FHD,B56,MATCH(TEMPLATE_SPHERE,TEMPLATE_SPHERE_LIST_FOR_NOTE,0))</f>
        <v>5.1.1</v>
      </c>
      <c r="J56" s="1006" t="str">
        <f>INDEX(TEMPLATE_DATA_POINT_FHD,B56,MATCH(TEMPLATE_SPHERE,TEMPLATE_SPHERE_LIST_FOR_NOTE,0))</f>
        <v>Изменения стоимости основных фондов за счет их ввода в эксплуатацию</v>
      </c>
      <c r="K56" s="1006" t="str">
        <f>INDEX(TEMPLATE_NOTE_POINT_FHD,B56,MATCH(TEMPLATE_SPHERE,TEMPLATE_SPHERE_LIST_FOR_NOTE,0))</f>
        <v>Указываются изменение стоимости основных фондов за счет их ввода в эксплуатацию.</v>
      </c>
      <c r="L56" s="845" t="str">
        <f>IF(I56=0,"",I56)</f>
        <v>5.1.1</v>
      </c>
      <c r="M56" s="845" t="str">
        <f>IF(J56=0,"",J56)</f>
        <v>Изменения стоимости основных фондов за счет их ввода в эксплуатацию</v>
      </c>
      <c r="N56" s="845" t="str">
        <f>IF(K56=0,"",K56)</f>
        <v>Указываются изменение стоимости основных фондов за счет их ввода в эксплуатацию.</v>
      </c>
      <c r="O56" s="958" t="s">
        <v>1157</v>
      </c>
      <c r="P56" s="958" t="s">
        <v>775</v>
      </c>
      <c r="Q56" s="958" t="s">
        <v>775</v>
      </c>
      <c r="R56" s="958" t="s">
        <v>775</v>
      </c>
      <c r="S56" s="958"/>
      <c r="T56" s="845" t="str">
        <f>IF(TITLE_TYPE_ORG="Регулируемая организация","Изменения стоимости основных фондов за счет их ввода в эксплуатацию","за счет их ввода в эксплуатацию")</f>
        <v>Изменения стоимости основных фондов за счет их ввода в эксплуатацию</v>
      </c>
      <c r="U56" s="844" t="s">
        <v>2161</v>
      </c>
      <c r="V56" s="844" t="s">
        <v>2161</v>
      </c>
      <c r="W56" s="844" t="s">
        <v>2161</v>
      </c>
      <c r="X56" s="844"/>
      <c r="Y56" s="1001"/>
      <c r="Z56" s="847" t="s">
        <v>777</v>
      </c>
      <c r="AA56" s="847" t="s">
        <v>777</v>
      </c>
      <c r="AB56" s="847" t="s">
        <v>777</v>
      </c>
      <c r="AC56" s="847" t="s">
        <v>777</v>
      </c>
      <c r="AD56" s="847"/>
    </row>
    <row customHeight="1" ht="27">
      <c r="A57" s="846"/>
      <c r="B57" s="900">
        <v>40</v>
      </c>
      <c r="C57" s="844" t="s">
        <v>1042</v>
      </c>
      <c r="D57" s="968"/>
      <c r="E57" s="844"/>
      <c r="F57" s="844"/>
      <c r="G57" s="844"/>
      <c r="H57" s="892"/>
      <c r="I57" s="1006" t="str">
        <f>INDEX(TEMPLATE_NUMBER_POINT_FHD,B57,MATCH(TEMPLATE_SPHERE,TEMPLATE_SPHERE_LIST_FOR_NOTE,0))</f>
        <v>5.1.2</v>
      </c>
      <c r="J57" s="1006" t="str">
        <f>INDEX(TEMPLATE_DATA_POINT_FHD,B57,MATCH(TEMPLATE_SPHERE,TEMPLATE_SPHERE_LIST_FOR_NOTE,0))</f>
        <v>Изменения стоимости основных фондов за счет их вывода в эксплуатацию</v>
      </c>
      <c r="K57" s="1006" t="str">
        <f>INDEX(TEMPLATE_NOTE_POINT_FHD,B57,MATCH(TEMPLATE_SPHERE,TEMPLATE_SPHERE_LIST_FOR_NOTE,0))</f>
        <v>Указываются изменение стоимости основных фондов за счет их вывода из эксплуатации.</v>
      </c>
      <c r="L57" s="845" t="str">
        <f>IF(I57=0,"",I57)</f>
        <v>5.1.2</v>
      </c>
      <c r="M57" s="845" t="str">
        <f>IF(J57=0,"",J57)</f>
        <v>Изменения стоимости основных фондов за счет их вывода в эксплуатацию</v>
      </c>
      <c r="N57" s="845" t="str">
        <f>IF(K57=0,"",K57)</f>
        <v>Указываются изменение стоимости основных фондов за счет их вывода из эксплуатации.</v>
      </c>
      <c r="O57" s="958" t="s">
        <v>2162</v>
      </c>
      <c r="P57" s="958" t="s">
        <v>778</v>
      </c>
      <c r="Q57" s="958" t="s">
        <v>778</v>
      </c>
      <c r="R57" s="958" t="s">
        <v>778</v>
      </c>
      <c r="S57" s="958"/>
      <c r="T57" s="845" t="str">
        <f>IF(TITLE_TYPE_ORG="Регулируемая организация","Изменения стоимости основных фондов за счет их вывода в эксплуатацию","за счет их вывода в эксплуатацию")</f>
        <v>Изменения стоимости основных фондов за счет их вывода в эксплуатацию</v>
      </c>
      <c r="U57" s="844" t="s">
        <v>2163</v>
      </c>
      <c r="V57" s="844" t="s">
        <v>2163</v>
      </c>
      <c r="W57" s="844" t="s">
        <v>2163</v>
      </c>
      <c r="X57" s="844"/>
      <c r="Y57" s="1001"/>
      <c r="Z57" s="847" t="s">
        <v>780</v>
      </c>
      <c r="AA57" s="847" t="s">
        <v>780</v>
      </c>
      <c r="AB57" s="847" t="s">
        <v>780</v>
      </c>
      <c r="AC57" s="847" t="s">
        <v>780</v>
      </c>
      <c r="AD57" s="847"/>
    </row>
    <row customHeight="1" ht="18">
      <c r="A58" s="846"/>
      <c r="B58" s="900">
        <v>41</v>
      </c>
      <c r="C58" s="844">
        <v>2</v>
      </c>
      <c r="D58" s="968"/>
      <c r="E58" s="844"/>
      <c r="F58" s="844"/>
      <c r="G58" s="844"/>
      <c r="H58" s="892"/>
      <c r="I58" s="1006" t="str">
        <f>INDEX(TEMPLATE_NUMBER_POINT_FHD,B58,MATCH(TEMPLATE_SPHERE,TEMPLATE_SPHERE_LIST_FOR_NOTE,0))</f>
        <v>5.2</v>
      </c>
      <c r="J58" s="1006" t="str">
        <f>INDEX(TEMPLATE_DATA_POINT_FHD,B58,MATCH(TEMPLATE_SPHERE,TEMPLATE_SPHERE_LIST_FOR_NOTE,0))</f>
        <v>Изменение стоимости основных фондов за счет их переоценки</v>
      </c>
      <c r="K58" s="1006">
        <f>INDEX(TEMPLATE_NOTE_POINT_FHD,B58,MATCH(TEMPLATE_SPHERE,TEMPLATE_SPHERE_LIST_FOR_NOTE,0))</f>
        <v>0</v>
      </c>
      <c r="L58" s="845" t="str">
        <f>IF(I58=0,"",I58)</f>
        <v>5.2</v>
      </c>
      <c r="M58" s="845" t="str">
        <f>IF(J58=0,"",J58)</f>
        <v>Изменение стоимости основных фондов за счет их переоценки</v>
      </c>
      <c r="N58" s="845" t="str">
        <f>IF(K58=0,"",K58)</f>
        <v/>
      </c>
      <c r="O58" s="958" t="s">
        <v>900</v>
      </c>
      <c r="P58" s="958" t="s">
        <v>814</v>
      </c>
      <c r="Q58" s="958" t="s">
        <v>814</v>
      </c>
      <c r="R58" s="958" t="s">
        <v>814</v>
      </c>
      <c r="S58" s="958"/>
      <c r="T58" s="845" t="str">
        <f>IF(TITLE_TYPE_ORG="Регулируемая организация","Изменение стоимости основных фондов за счет их переоценки","за счет их переоценки")</f>
        <v>Изменение стоимости основных фондов за счет их переоценки</v>
      </c>
      <c r="U58" s="844" t="s">
        <v>2164</v>
      </c>
      <c r="V58" s="844" t="s">
        <v>2164</v>
      </c>
      <c r="W58" s="844" t="s">
        <v>2164</v>
      </c>
      <c r="X58" s="844"/>
      <c r="Y58" s="1001"/>
      <c r="Z58" s="847"/>
      <c r="AA58" s="850"/>
      <c r="AB58" s="847"/>
      <c r="AC58" s="847"/>
      <c r="AD58" s="847"/>
    </row>
    <row customHeight="1" ht="36">
      <c r="A59" s="846"/>
      <c r="B59" s="900">
        <v>42</v>
      </c>
      <c r="C59" s="844">
        <v>3</v>
      </c>
      <c r="D59" s="968" t="s">
        <v>2152</v>
      </c>
      <c r="E59" s="844" t="s">
        <v>2152</v>
      </c>
      <c r="F59" s="844" t="s">
        <v>2152</v>
      </c>
      <c r="G59" s="844"/>
      <c r="H59" s="892"/>
      <c r="I59" s="1006">
        <f>INDEX(TEMPLATE_NUMBER_POINT_FHD,B59,MATCH(TEMPLATE_SPHERE,TEMPLATE_SPHERE_LIST_FOR_NOTE,0))</f>
        <v>0</v>
      </c>
      <c r="J59" s="1006">
        <f>INDEX(TEMPLATE_DATA_POINT_FHD,B59,MATCH(TEMPLATE_SPHERE,TEMPLATE_SPHERE_LIST_FOR_NOTE,0))</f>
        <v>0</v>
      </c>
      <c r="K59" s="1006">
        <f>INDEX(TEMPLATE_NOTE_POINT_FHD,B59,MATCH(TEMPLATE_SPHERE,TEMPLATE_SPHERE_LIST_FOR_NOTE,0))</f>
        <v>0</v>
      </c>
      <c r="L59" s="845" t="str">
        <f>IF(I59=0,"",I59)</f>
        <v/>
      </c>
      <c r="M59" s="845" t="str">
        <f>IF(J59=0,"",J59)</f>
        <v/>
      </c>
      <c r="N59" s="845" t="str">
        <f>IF(K59=0,"",K59)</f>
        <v/>
      </c>
      <c r="O59" s="958"/>
      <c r="P59" s="958" t="s">
        <v>119</v>
      </c>
      <c r="Q59" s="958" t="s">
        <v>119</v>
      </c>
      <c r="R59" s="958" t="s">
        <v>119</v>
      </c>
      <c r="S59" s="958"/>
      <c r="T59" s="844"/>
      <c r="U59" s="844" t="s">
        <v>2165</v>
      </c>
      <c r="V59" s="844" t="s">
        <v>2166</v>
      </c>
      <c r="W59" s="844" t="s">
        <v>2167</v>
      </c>
      <c r="X59" s="844"/>
      <c r="Y59" s="1001"/>
      <c r="Z59" s="847"/>
      <c r="AA59" s="850"/>
      <c r="AB59" s="847"/>
      <c r="AC59" s="847"/>
      <c r="AD59" s="847"/>
    </row>
    <row customHeight="1" ht="81">
      <c r="A60" s="846"/>
      <c r="B60" s="900">
        <v>43</v>
      </c>
      <c r="C60" s="844" t="s">
        <v>2168</v>
      </c>
      <c r="D60" s="968" t="s">
        <v>2168</v>
      </c>
      <c r="E60" s="844" t="s">
        <v>2168</v>
      </c>
      <c r="F60" s="844" t="s">
        <v>2168</v>
      </c>
      <c r="G60" s="844"/>
      <c r="H60" s="892"/>
      <c r="I60" s="1006" t="str">
        <f>INDEX(TEMPLATE_NUMBER_POINT_FHD,B60,MATCH(TEMPLATE_SPHERE,TEMPLATE_SPHERE_LIST_FOR_NOTE,0))</f>
        <v>6</v>
      </c>
      <c r="J60" s="1006" t="str">
        <f>INDEX(TEMPLATE_DATA_POINT_FHD,B60,MATCH(TEMPLATE_SPHERE,TEMPLATE_SPHERE_LIST_FOR_NOTE,0))</f>
        <v>Годовая бухгалтерская (финансовая) отчетность, включая бухгалтерский баланс и приложения к нему</v>
      </c>
      <c r="K60" s="1006" t="str">
        <f>INDEX(TEMPLATE_NOTE_POINT_FHD,B60,MATCH(TEMPLATE_SPHERE,TEMPLATE_SPHERE_LIST_FOR_NOTE,0))</f>
        <v>Указывается ссылка на документ, предварительно загруженный в хранилище файлов ФГИС ЕИАС.
Регулируемыми организациями информация раскрывается в случае, если выручка от регулируемых видов деятельности превышает 80 процентов совокупной выручки за отчетный год.</v>
      </c>
      <c r="L60" s="845" t="str">
        <f>IF(I60=0,"",I60)</f>
        <v>6</v>
      </c>
      <c r="M60" s="845" t="str">
        <f>IF(J60=0,"",J60)</f>
        <v>Годовая бухгалтерская (финансовая) отчетность, включая бухгалтерский баланс и приложения к нему</v>
      </c>
      <c r="N60" s="845" t="str">
        <f>IF(K60=0,"",K60)</f>
        <v>Указывается ссылка на документ, предварительно загруженный в хранилище файлов ФГИС ЕИАС.
Регулируемыми организациями информация раскрывается в случае, если выручка от регулируемых видов деятельности превышает 80 процентов совокупной выручки за отчетный год.</v>
      </c>
      <c r="O60" s="958" t="s">
        <v>93</v>
      </c>
      <c r="P60" s="958" t="s">
        <v>93</v>
      </c>
      <c r="Q60" s="958" t="s">
        <v>93</v>
      </c>
      <c r="R60" s="958" t="s">
        <v>93</v>
      </c>
      <c r="S60" s="958"/>
      <c r="T60" s="844" t="s">
        <v>648</v>
      </c>
      <c r="U60" s="844" t="s">
        <v>648</v>
      </c>
      <c r="V60" s="844" t="s">
        <v>648</v>
      </c>
      <c r="W60" s="844" t="s">
        <v>648</v>
      </c>
      <c r="X60" s="844"/>
      <c r="Y60" s="1001"/>
      <c r="Z60" s="847" t="s">
        <v>2169</v>
      </c>
      <c r="AA60" s="850" t="s">
        <v>2170</v>
      </c>
      <c r="AB60" s="847" t="s">
        <v>2171</v>
      </c>
      <c r="AC60" s="847" t="s">
        <v>2170</v>
      </c>
      <c r="AD60" s="847"/>
    </row>
    <row customHeight="1" ht="9">
      <c r="A61" s="846"/>
      <c r="B61" s="900">
        <v>44</v>
      </c>
      <c r="C61" s="844"/>
      <c r="D61" s="968" t="s">
        <v>2172</v>
      </c>
      <c r="E61" s="844"/>
      <c r="F61" s="844"/>
      <c r="G61" s="844"/>
      <c r="H61" s="892"/>
      <c r="I61" s="1006">
        <f>INDEX(TEMPLATE_NUMBER_POINT_FHD,B61,MATCH(TEMPLATE_SPHERE,TEMPLATE_SPHERE_LIST_FOR_NOTE,0))</f>
        <v>0</v>
      </c>
      <c r="J61" s="1006">
        <f>INDEX(TEMPLATE_DATA_POINT_FHD,B61,MATCH(TEMPLATE_SPHERE,TEMPLATE_SPHERE_LIST_FOR_NOTE,0))</f>
        <v>0</v>
      </c>
      <c r="K61" s="1006">
        <f>INDEX(TEMPLATE_NOTE_POINT_FHD,B61,MATCH(TEMPLATE_SPHERE,TEMPLATE_SPHERE_LIST_FOR_NOTE,0))</f>
        <v>0</v>
      </c>
      <c r="L61" s="845" t="str">
        <f>IF(I61=0,"",I61)</f>
        <v/>
      </c>
      <c r="M61" s="845" t="str">
        <f>IF(J61=0,"",J61)</f>
        <v/>
      </c>
      <c r="N61" s="845" t="str">
        <f>IF(K61=0,"",K61)</f>
        <v/>
      </c>
      <c r="O61" s="958"/>
      <c r="P61" s="958" t="s">
        <v>94</v>
      </c>
      <c r="Q61" s="958"/>
      <c r="R61" s="958"/>
      <c r="S61" s="958"/>
      <c r="T61" s="844"/>
      <c r="U61" s="844" t="s">
        <v>2173</v>
      </c>
      <c r="V61" s="844"/>
      <c r="W61" s="844"/>
      <c r="X61" s="844"/>
      <c r="Y61" s="1001"/>
      <c r="Z61" s="847"/>
      <c r="AA61" s="850"/>
      <c r="AB61" s="847"/>
      <c r="AC61" s="847"/>
      <c r="AD61" s="847"/>
    </row>
    <row customHeight="1" ht="9">
      <c r="A62" s="846"/>
      <c r="B62" s="900">
        <v>45</v>
      </c>
      <c r="C62" s="844"/>
      <c r="D62" s="968" t="s">
        <v>2174</v>
      </c>
      <c r="E62" s="844"/>
      <c r="F62" s="844"/>
      <c r="G62" s="844"/>
      <c r="H62" s="892"/>
      <c r="I62" s="1006">
        <f>INDEX(TEMPLATE_NUMBER_POINT_FHD,B62,MATCH(TEMPLATE_SPHERE,TEMPLATE_SPHERE_LIST_FOR_NOTE,0))</f>
        <v>0</v>
      </c>
      <c r="J62" s="1006">
        <f>INDEX(TEMPLATE_DATA_POINT_FHD,B62,MATCH(TEMPLATE_SPHERE,TEMPLATE_SPHERE_LIST_FOR_NOTE,0))</f>
        <v>0</v>
      </c>
      <c r="K62" s="1006">
        <f>INDEX(TEMPLATE_NOTE_POINT_FHD,B62,MATCH(TEMPLATE_SPHERE,TEMPLATE_SPHERE_LIST_FOR_NOTE,0))</f>
        <v>0</v>
      </c>
      <c r="L62" s="845" t="str">
        <f>IF(I62=0,"",I62)</f>
        <v/>
      </c>
      <c r="M62" s="845" t="str">
        <f>IF(J62=0,"",J62)</f>
        <v/>
      </c>
      <c r="N62" s="845" t="str">
        <f>IF(K62=0,"",K62)</f>
        <v/>
      </c>
      <c r="O62" s="958"/>
      <c r="P62" s="958" t="s">
        <v>120</v>
      </c>
      <c r="Q62" s="958"/>
      <c r="R62" s="958"/>
      <c r="S62" s="958"/>
      <c r="T62" s="844"/>
      <c r="U62" s="844" t="s">
        <v>2175</v>
      </c>
      <c r="V62" s="844"/>
      <c r="W62" s="844"/>
      <c r="X62" s="844"/>
      <c r="Y62" s="1001"/>
      <c r="Z62" s="847"/>
      <c r="AA62" s="850"/>
      <c r="AB62" s="847"/>
      <c r="AC62" s="847"/>
      <c r="AD62" s="847"/>
    </row>
    <row customHeight="1" ht="18">
      <c r="A63" s="846"/>
      <c r="B63" s="900">
        <v>46</v>
      </c>
      <c r="C63" s="844"/>
      <c r="D63" s="968" t="s">
        <v>2176</v>
      </c>
      <c r="E63" s="844"/>
      <c r="F63" s="844"/>
      <c r="G63" s="844"/>
      <c r="H63" s="892"/>
      <c r="I63" s="1006">
        <f>INDEX(TEMPLATE_NUMBER_POINT_FHD,B63,MATCH(TEMPLATE_SPHERE,TEMPLATE_SPHERE_LIST_FOR_NOTE,0))</f>
        <v>0</v>
      </c>
      <c r="J63" s="1006">
        <f>INDEX(TEMPLATE_DATA_POINT_FHD,B63,MATCH(TEMPLATE_SPHERE,TEMPLATE_SPHERE_LIST_FOR_NOTE,0))</f>
        <v>0</v>
      </c>
      <c r="K63" s="1006">
        <f>INDEX(TEMPLATE_NOTE_POINT_FHD,B63,MATCH(TEMPLATE_SPHERE,TEMPLATE_SPHERE_LIST_FOR_NOTE,0))</f>
        <v>0</v>
      </c>
      <c r="L63" s="845" t="str">
        <f>IF(I63=0,"",I63)</f>
        <v/>
      </c>
      <c r="M63" s="845" t="str">
        <f>IF(J63=0,"",J63)</f>
        <v/>
      </c>
      <c r="N63" s="845" t="str">
        <f>IF(K63=0,"",K63)</f>
        <v/>
      </c>
      <c r="O63" s="958"/>
      <c r="P63" s="958" t="s">
        <v>156</v>
      </c>
      <c r="Q63" s="958"/>
      <c r="R63" s="958"/>
      <c r="S63" s="958"/>
      <c r="T63" s="844"/>
      <c r="U63" s="844" t="s">
        <v>2177</v>
      </c>
      <c r="V63" s="844"/>
      <c r="W63" s="844"/>
      <c r="X63" s="844"/>
      <c r="Y63" s="1001"/>
      <c r="Z63" s="847"/>
      <c r="AA63" s="850"/>
      <c r="AB63" s="847"/>
      <c r="AC63" s="847"/>
      <c r="AD63" s="847"/>
    </row>
    <row customHeight="1" ht="18">
      <c r="A64" s="846"/>
      <c r="B64" s="900">
        <v>47</v>
      </c>
      <c r="C64" s="844"/>
      <c r="D64" s="968" t="s">
        <v>2178</v>
      </c>
      <c r="E64" s="844"/>
      <c r="F64" s="844"/>
      <c r="G64" s="844"/>
      <c r="H64" s="892"/>
      <c r="I64" s="1006">
        <f>INDEX(TEMPLATE_NUMBER_POINT_FHD,B64,MATCH(TEMPLATE_SPHERE,TEMPLATE_SPHERE_LIST_FOR_NOTE,0))</f>
        <v>0</v>
      </c>
      <c r="J64" s="1006">
        <f>INDEX(TEMPLATE_DATA_POINT_FHD,B64,MATCH(TEMPLATE_SPHERE,TEMPLATE_SPHERE_LIST_FOR_NOTE,0))</f>
        <v>0</v>
      </c>
      <c r="K64" s="1006">
        <f>INDEX(TEMPLATE_NOTE_POINT_FHD,B64,MATCH(TEMPLATE_SPHERE,TEMPLATE_SPHERE_LIST_FOR_NOTE,0))</f>
        <v>0</v>
      </c>
      <c r="L64" s="845" t="str">
        <f>IF(I64=0,"",I64)</f>
        <v/>
      </c>
      <c r="M64" s="845" t="str">
        <f>IF(J64=0,"",J64)</f>
        <v/>
      </c>
      <c r="N64" s="845" t="str">
        <f>IF(K64=0,"",K64)</f>
        <v/>
      </c>
      <c r="O64" s="958"/>
      <c r="P64" s="958" t="s">
        <v>157</v>
      </c>
      <c r="Q64" s="958"/>
      <c r="R64" s="958"/>
      <c r="S64" s="958"/>
      <c r="T64" s="844"/>
      <c r="U64" s="844" t="s">
        <v>2179</v>
      </c>
      <c r="V64" s="844"/>
      <c r="W64" s="844"/>
      <c r="X64" s="844"/>
      <c r="Y64" s="1001"/>
      <c r="Z64" s="847"/>
      <c r="AA64" s="850" t="s">
        <v>2180</v>
      </c>
      <c r="AB64" s="847"/>
      <c r="AC64" s="847"/>
      <c r="AD64" s="847"/>
    </row>
    <row customHeight="1" ht="18">
      <c r="A65" s="846"/>
      <c r="B65" s="900">
        <v>48</v>
      </c>
      <c r="C65" s="844"/>
      <c r="D65" s="968"/>
      <c r="E65" s="844"/>
      <c r="F65" s="844"/>
      <c r="G65" s="844"/>
      <c r="H65" s="892"/>
      <c r="I65" s="1006">
        <f>INDEX(TEMPLATE_NUMBER_POINT_FHD,B65,MATCH(TEMPLATE_SPHERE,TEMPLATE_SPHERE_LIST_FOR_NOTE,0))</f>
        <v>0</v>
      </c>
      <c r="J65" s="1006">
        <f>INDEX(TEMPLATE_DATA_POINT_FHD,B65,MATCH(TEMPLATE_SPHERE,TEMPLATE_SPHERE_LIST_FOR_NOTE,0))</f>
        <v>0</v>
      </c>
      <c r="K65" s="1006">
        <f>INDEX(TEMPLATE_NOTE_POINT_FHD,B65,MATCH(TEMPLATE_SPHERE,TEMPLATE_SPHERE_LIST_FOR_NOTE,0))</f>
        <v>0</v>
      </c>
      <c r="L65" s="845" t="str">
        <f>IF(I65=0,"",I65)</f>
        <v/>
      </c>
      <c r="M65" s="845" t="str">
        <f>IF(J65=0,"",J65)</f>
        <v/>
      </c>
      <c r="N65" s="845" t="str">
        <f>IF(K65=0,"",K65)</f>
        <v/>
      </c>
      <c r="O65" s="958"/>
      <c r="P65" s="958" t="s">
        <v>2093</v>
      </c>
      <c r="Q65" s="958"/>
      <c r="R65" s="958"/>
      <c r="S65" s="958"/>
      <c r="T65" s="844"/>
      <c r="U65" s="844" t="s">
        <v>2181</v>
      </c>
      <c r="V65" s="844"/>
      <c r="W65" s="844"/>
      <c r="X65" s="844"/>
      <c r="Y65" s="1001"/>
      <c r="Z65" s="847"/>
      <c r="AA65" s="850"/>
      <c r="AB65" s="847"/>
      <c r="AC65" s="847"/>
      <c r="AD65" s="847"/>
    </row>
    <row customHeight="1" ht="18">
      <c r="A66" s="846"/>
      <c r="B66" s="900">
        <v>49</v>
      </c>
      <c r="C66" s="844"/>
      <c r="D66" s="968"/>
      <c r="E66" s="844"/>
      <c r="F66" s="844"/>
      <c r="G66" s="844"/>
      <c r="H66" s="892"/>
      <c r="I66" s="1006">
        <f>INDEX(TEMPLATE_NUMBER_POINT_FHD,B66,MATCH(TEMPLATE_SPHERE,TEMPLATE_SPHERE_LIST_FOR_NOTE,0))</f>
        <v>0</v>
      </c>
      <c r="J66" s="1006">
        <f>INDEX(TEMPLATE_DATA_POINT_FHD,B66,MATCH(TEMPLATE_SPHERE,TEMPLATE_SPHERE_LIST_FOR_NOTE,0))</f>
        <v>0</v>
      </c>
      <c r="K66" s="1006">
        <f>INDEX(TEMPLATE_NOTE_POINT_FHD,B66,MATCH(TEMPLATE_SPHERE,TEMPLATE_SPHERE_LIST_FOR_NOTE,0))</f>
        <v>0</v>
      </c>
      <c r="L66" s="845" t="str">
        <f>IF(I66=0,"",I66)</f>
        <v/>
      </c>
      <c r="M66" s="845" t="str">
        <f>IF(J66=0,"",J66)</f>
        <v/>
      </c>
      <c r="N66" s="845" t="str">
        <f>IF(K66=0,"",K66)</f>
        <v/>
      </c>
      <c r="O66" s="958"/>
      <c r="P66" s="958" t="s">
        <v>2097</v>
      </c>
      <c r="Q66" s="958"/>
      <c r="R66" s="958"/>
      <c r="S66" s="958"/>
      <c r="T66" s="844"/>
      <c r="U66" s="844" t="s">
        <v>2182</v>
      </c>
      <c r="V66" s="844"/>
      <c r="W66" s="844"/>
      <c r="X66" s="844"/>
      <c r="Y66" s="1001"/>
      <c r="Z66" s="847"/>
      <c r="AA66" s="850"/>
      <c r="AB66" s="847"/>
      <c r="AC66" s="847"/>
      <c r="AD66" s="847"/>
    </row>
    <row customHeight="1" ht="27">
      <c r="A67" s="846"/>
      <c r="B67" s="900">
        <v>50</v>
      </c>
      <c r="C67" s="844"/>
      <c r="D67" s="968"/>
      <c r="E67" s="844"/>
      <c r="F67" s="844"/>
      <c r="G67" s="844"/>
      <c r="H67" s="892"/>
      <c r="I67" s="1006">
        <f>INDEX(TEMPLATE_NUMBER_POINT_FHD,B67,MATCH(TEMPLATE_SPHERE,TEMPLATE_SPHERE_LIST_FOR_NOTE,0))</f>
        <v>0</v>
      </c>
      <c r="J67" s="1006">
        <f>INDEX(TEMPLATE_DATA_POINT_FHD,B67,MATCH(TEMPLATE_SPHERE,TEMPLATE_SPHERE_LIST_FOR_NOTE,0))</f>
        <v>0</v>
      </c>
      <c r="K67" s="1006">
        <f>INDEX(TEMPLATE_NOTE_POINT_FHD,B67,MATCH(TEMPLATE_SPHERE,TEMPLATE_SPHERE_LIST_FOR_NOTE,0))</f>
        <v>0</v>
      </c>
      <c r="L67" s="845" t="str">
        <f>IF(I67=0,"",I67)</f>
        <v/>
      </c>
      <c r="M67" s="845" t="str">
        <f>IF(J67=0,"",J67)</f>
        <v/>
      </c>
      <c r="N67" s="845" t="str">
        <f>IF(K67=0,"",K67)</f>
        <v/>
      </c>
      <c r="O67" s="958"/>
      <c r="P67" s="958" t="s">
        <v>2183</v>
      </c>
      <c r="Q67" s="958"/>
      <c r="R67" s="958"/>
      <c r="S67" s="958"/>
      <c r="T67" s="844"/>
      <c r="U67" s="844" t="s">
        <v>2184</v>
      </c>
      <c r="V67" s="844"/>
      <c r="W67" s="844"/>
      <c r="X67" s="844"/>
      <c r="Y67" s="1001"/>
      <c r="Z67" s="847"/>
      <c r="AA67" s="850"/>
      <c r="AB67" s="847"/>
      <c r="AC67" s="847"/>
      <c r="AD67" s="847"/>
    </row>
    <row customHeight="1" ht="27">
      <c r="A68" s="846"/>
      <c r="B68" s="900">
        <v>51</v>
      </c>
      <c r="C68" s="844"/>
      <c r="D68" s="968"/>
      <c r="E68" s="844"/>
      <c r="F68" s="844"/>
      <c r="G68" s="844"/>
      <c r="H68" s="892"/>
      <c r="I68" s="1006">
        <f>INDEX(TEMPLATE_NUMBER_POINT_FHD,B68,MATCH(TEMPLATE_SPHERE,TEMPLATE_SPHERE_LIST_FOR_NOTE,0))</f>
        <v>0</v>
      </c>
      <c r="J68" s="1006">
        <f>INDEX(TEMPLATE_DATA_POINT_FHD,B68,MATCH(TEMPLATE_SPHERE,TEMPLATE_SPHERE_LIST_FOR_NOTE,0))</f>
        <v>0</v>
      </c>
      <c r="K68" s="1006">
        <f>INDEX(TEMPLATE_NOTE_POINT_FHD,B68,MATCH(TEMPLATE_SPHERE,TEMPLATE_SPHERE_LIST_FOR_NOTE,0))</f>
        <v>0</v>
      </c>
      <c r="L68" s="845" t="str">
        <f>IF(I68=0,"",I68)</f>
        <v/>
      </c>
      <c r="M68" s="845" t="str">
        <f>IF(J68=0,"",J68)</f>
        <v/>
      </c>
      <c r="N68" s="845" t="str">
        <f>IF(K68=0,"",K68)</f>
        <v/>
      </c>
      <c r="O68" s="958"/>
      <c r="P68" s="958" t="s">
        <v>2185</v>
      </c>
      <c r="Q68" s="958"/>
      <c r="R68" s="958"/>
      <c r="S68" s="958"/>
      <c r="T68" s="844"/>
      <c r="U68" s="844" t="s">
        <v>2186</v>
      </c>
      <c r="V68" s="844"/>
      <c r="W68" s="844"/>
      <c r="X68" s="844"/>
      <c r="Y68" s="1001"/>
      <c r="Z68" s="847"/>
      <c r="AA68" s="850"/>
      <c r="AB68" s="847"/>
      <c r="AC68" s="847"/>
      <c r="AD68" s="847"/>
    </row>
    <row customHeight="1" ht="9">
      <c r="A69" s="846"/>
      <c r="B69" s="900">
        <v>52</v>
      </c>
      <c r="C69" s="844"/>
      <c r="D69" s="968" t="s">
        <v>2187</v>
      </c>
      <c r="E69" s="844"/>
      <c r="F69" s="844"/>
      <c r="G69" s="844"/>
      <c r="H69" s="892"/>
      <c r="I69" s="1006">
        <f>INDEX(TEMPLATE_NUMBER_POINT_FHD,B69,MATCH(TEMPLATE_SPHERE,TEMPLATE_SPHERE_LIST_FOR_NOTE,0))</f>
        <v>0</v>
      </c>
      <c r="J69" s="1006">
        <f>INDEX(TEMPLATE_DATA_POINT_FHD,B69,MATCH(TEMPLATE_SPHERE,TEMPLATE_SPHERE_LIST_FOR_NOTE,0))</f>
        <v>0</v>
      </c>
      <c r="K69" s="1006">
        <f>INDEX(TEMPLATE_NOTE_POINT_FHD,B69,MATCH(TEMPLATE_SPHERE,TEMPLATE_SPHERE_LIST_FOR_NOTE,0))</f>
        <v>0</v>
      </c>
      <c r="L69" s="845" t="str">
        <f>IF(I69=0,"",I69)</f>
        <v/>
      </c>
      <c r="M69" s="845" t="str">
        <f>IF(J69=0,"",J69)</f>
        <v/>
      </c>
      <c r="N69" s="845" t="str">
        <f>IF(K69=0,"",K69)</f>
        <v/>
      </c>
      <c r="O69" s="958"/>
      <c r="P69" s="958" t="s">
        <v>158</v>
      </c>
      <c r="Q69" s="958"/>
      <c r="R69" s="958"/>
      <c r="S69" s="958"/>
      <c r="T69" s="844"/>
      <c r="U69" s="844" t="s">
        <v>2188</v>
      </c>
      <c r="V69" s="844"/>
      <c r="W69" s="844"/>
      <c r="X69" s="844"/>
      <c r="Y69" s="1001"/>
      <c r="Z69" s="847"/>
      <c r="AA69" s="850"/>
      <c r="AB69" s="847"/>
      <c r="AC69" s="847"/>
      <c r="AD69" s="847"/>
    </row>
    <row customHeight="1" ht="27">
      <c r="A70" s="846"/>
      <c r="B70" s="900">
        <v>53</v>
      </c>
      <c r="C70" s="844"/>
      <c r="D70" s="968"/>
      <c r="E70" s="844" t="s">
        <v>2172</v>
      </c>
      <c r="F70" s="844"/>
      <c r="G70" s="844"/>
      <c r="H70" s="892"/>
      <c r="I70" s="1006">
        <f>INDEX(TEMPLATE_NUMBER_POINT_FHD,B70,MATCH(TEMPLATE_SPHERE,TEMPLATE_SPHERE_LIST_FOR_NOTE,0))</f>
        <v>0</v>
      </c>
      <c r="J70" s="1006">
        <f>INDEX(TEMPLATE_DATA_POINT_FHD,B70,MATCH(TEMPLATE_SPHERE,TEMPLATE_SPHERE_LIST_FOR_NOTE,0))</f>
        <v>0</v>
      </c>
      <c r="K70" s="1006">
        <f>INDEX(TEMPLATE_NOTE_POINT_FHD,B70,MATCH(TEMPLATE_SPHERE,TEMPLATE_SPHERE_LIST_FOR_NOTE,0))</f>
        <v>0</v>
      </c>
      <c r="L70" s="845" t="str">
        <f>IF(I70=0,"",I70)</f>
        <v/>
      </c>
      <c r="M70" s="845" t="str">
        <f>IF(J70=0,"",J70)</f>
        <v/>
      </c>
      <c r="N70" s="845" t="str">
        <f>IF(K70=0,"",K70)</f>
        <v/>
      </c>
      <c r="O70" s="958"/>
      <c r="P70" s="958"/>
      <c r="Q70" s="958" t="s">
        <v>94</v>
      </c>
      <c r="R70" s="958"/>
      <c r="S70" s="958"/>
      <c r="T70" s="844"/>
      <c r="U70" s="844"/>
      <c r="V70" s="844" t="s">
        <v>2189</v>
      </c>
      <c r="W70" s="844"/>
      <c r="X70" s="844"/>
      <c r="Y70" s="1001"/>
      <c r="Z70" s="847"/>
      <c r="AA70" s="850"/>
      <c r="AB70" s="847"/>
      <c r="AC70" s="847"/>
      <c r="AD70" s="847"/>
    </row>
    <row customHeight="1" ht="36">
      <c r="A71" s="846"/>
      <c r="B71" s="900">
        <v>54</v>
      </c>
      <c r="C71" s="844"/>
      <c r="D71" s="968"/>
      <c r="E71" s="844" t="s">
        <v>2174</v>
      </c>
      <c r="F71" s="844"/>
      <c r="G71" s="844"/>
      <c r="H71" s="892"/>
      <c r="I71" s="1006">
        <f>INDEX(TEMPLATE_NUMBER_POINT_FHD,B71,MATCH(TEMPLATE_SPHERE,TEMPLATE_SPHERE_LIST_FOR_NOTE,0))</f>
        <v>0</v>
      </c>
      <c r="J71" s="1006">
        <f>INDEX(TEMPLATE_DATA_POINT_FHD,B71,MATCH(TEMPLATE_SPHERE,TEMPLATE_SPHERE_LIST_FOR_NOTE,0))</f>
        <v>0</v>
      </c>
      <c r="K71" s="1006">
        <f>INDEX(TEMPLATE_NOTE_POINT_FHD,B71,MATCH(TEMPLATE_SPHERE,TEMPLATE_SPHERE_LIST_FOR_NOTE,0))</f>
        <v>0</v>
      </c>
      <c r="L71" s="845" t="str">
        <f>IF(I71=0,"",I71)</f>
        <v/>
      </c>
      <c r="M71" s="845" t="str">
        <f>IF(J71=0,"",J71)</f>
        <v/>
      </c>
      <c r="N71" s="845" t="str">
        <f>IF(K71=0,"",K71)</f>
        <v/>
      </c>
      <c r="O71" s="958"/>
      <c r="P71" s="958"/>
      <c r="Q71" s="958" t="s">
        <v>120</v>
      </c>
      <c r="R71" s="958"/>
      <c r="S71" s="958"/>
      <c r="T71" s="844"/>
      <c r="U71" s="844"/>
      <c r="V71" s="844" t="s">
        <v>2190</v>
      </c>
      <c r="W71" s="844"/>
      <c r="X71" s="844"/>
      <c r="Y71" s="1001"/>
      <c r="Z71" s="847"/>
      <c r="AA71" s="850"/>
      <c r="AB71" s="847"/>
      <c r="AC71" s="847"/>
      <c r="AD71" s="847"/>
    </row>
    <row customHeight="1" ht="27">
      <c r="A72" s="846"/>
      <c r="B72" s="900">
        <v>55</v>
      </c>
      <c r="C72" s="844"/>
      <c r="D72" s="968"/>
      <c r="E72" s="844" t="s">
        <v>2176</v>
      </c>
      <c r="F72" s="844"/>
      <c r="G72" s="844"/>
      <c r="H72" s="892"/>
      <c r="I72" s="1006">
        <f>INDEX(TEMPLATE_NUMBER_POINT_FHD,B72,MATCH(TEMPLATE_SPHERE,TEMPLATE_SPHERE_LIST_FOR_NOTE,0))</f>
        <v>0</v>
      </c>
      <c r="J72" s="1006">
        <f>INDEX(TEMPLATE_DATA_POINT_FHD,B72,MATCH(TEMPLATE_SPHERE,TEMPLATE_SPHERE_LIST_FOR_NOTE,0))</f>
        <v>0</v>
      </c>
      <c r="K72" s="1006">
        <f>INDEX(TEMPLATE_NOTE_POINT_FHD,B72,MATCH(TEMPLATE_SPHERE,TEMPLATE_SPHERE_LIST_FOR_NOTE,0))</f>
        <v>0</v>
      </c>
      <c r="L72" s="845" t="str">
        <f>IF(I72=0,"",I72)</f>
        <v/>
      </c>
      <c r="M72" s="845" t="str">
        <f>IF(J72=0,"",J72)</f>
        <v/>
      </c>
      <c r="N72" s="845" t="str">
        <f>IF(K72=0,"",K72)</f>
        <v/>
      </c>
      <c r="O72" s="958"/>
      <c r="P72" s="958"/>
      <c r="Q72" s="958" t="s">
        <v>156</v>
      </c>
      <c r="R72" s="958"/>
      <c r="S72" s="958"/>
      <c r="T72" s="844"/>
      <c r="U72" s="844"/>
      <c r="V72" s="844" t="s">
        <v>2191</v>
      </c>
      <c r="W72" s="844"/>
      <c r="X72" s="844"/>
      <c r="Y72" s="1001"/>
      <c r="Z72" s="847"/>
      <c r="AA72" s="850"/>
      <c r="AB72" s="847"/>
      <c r="AC72" s="847"/>
      <c r="AD72" s="847"/>
    </row>
    <row customHeight="1" ht="36">
      <c r="A73" s="846"/>
      <c r="B73" s="900">
        <v>56</v>
      </c>
      <c r="C73" s="844"/>
      <c r="D73" s="968"/>
      <c r="E73" s="844" t="s">
        <v>2178</v>
      </c>
      <c r="F73" s="844"/>
      <c r="G73" s="844"/>
      <c r="H73" s="892"/>
      <c r="I73" s="1006">
        <f>INDEX(TEMPLATE_NUMBER_POINT_FHD,B73,MATCH(TEMPLATE_SPHERE,TEMPLATE_SPHERE_LIST_FOR_NOTE,0))</f>
        <v>0</v>
      </c>
      <c r="J73" s="1006">
        <f>INDEX(TEMPLATE_DATA_POINT_FHD,B73,MATCH(TEMPLATE_SPHERE,TEMPLATE_SPHERE_LIST_FOR_NOTE,0))</f>
        <v>0</v>
      </c>
      <c r="K73" s="1006">
        <f>INDEX(TEMPLATE_NOTE_POINT_FHD,B73,MATCH(TEMPLATE_SPHERE,TEMPLATE_SPHERE_LIST_FOR_NOTE,0))</f>
        <v>0</v>
      </c>
      <c r="L73" s="845" t="str">
        <f>IF(I73=0,"",I73)</f>
        <v/>
      </c>
      <c r="M73" s="845" t="str">
        <f>IF(J73=0,"",J73)</f>
        <v/>
      </c>
      <c r="N73" s="845" t="str">
        <f>IF(K73=0,"",K73)</f>
        <v/>
      </c>
      <c r="O73" s="958"/>
      <c r="P73" s="958"/>
      <c r="Q73" s="958" t="s">
        <v>157</v>
      </c>
      <c r="R73" s="958"/>
      <c r="S73" s="958"/>
      <c r="T73" s="844"/>
      <c r="U73" s="844"/>
      <c r="V73" s="844" t="s">
        <v>2192</v>
      </c>
      <c r="W73" s="844"/>
      <c r="X73" s="844"/>
      <c r="Y73" s="1001"/>
      <c r="Z73" s="847"/>
      <c r="AA73" s="850"/>
      <c r="AB73" s="847"/>
      <c r="AC73" s="847"/>
      <c r="AD73" s="847"/>
    </row>
    <row customHeight="1" ht="18">
      <c r="A74" s="846"/>
      <c r="B74" s="900">
        <v>57</v>
      </c>
      <c r="C74" s="844"/>
      <c r="D74" s="968"/>
      <c r="E74" s="844" t="s">
        <v>2187</v>
      </c>
      <c r="F74" s="844"/>
      <c r="G74" s="844"/>
      <c r="H74" s="892"/>
      <c r="I74" s="1006">
        <f>INDEX(TEMPLATE_NUMBER_POINT_FHD,B74,MATCH(TEMPLATE_SPHERE,TEMPLATE_SPHERE_LIST_FOR_NOTE,0))</f>
        <v>0</v>
      </c>
      <c r="J74" s="1006">
        <f>INDEX(TEMPLATE_DATA_POINT_FHD,B74,MATCH(TEMPLATE_SPHERE,TEMPLATE_SPHERE_LIST_FOR_NOTE,0))</f>
        <v>0</v>
      </c>
      <c r="K74" s="1006">
        <f>INDEX(TEMPLATE_NOTE_POINT_FHD,B74,MATCH(TEMPLATE_SPHERE,TEMPLATE_SPHERE_LIST_FOR_NOTE,0))</f>
        <v>0</v>
      </c>
      <c r="L74" s="845" t="str">
        <f>IF(I74=0,"",I74)</f>
        <v/>
      </c>
      <c r="M74" s="845" t="str">
        <f>IF(J74=0,"",J74)</f>
        <v/>
      </c>
      <c r="N74" s="845" t="str">
        <f>IF(K74=0,"",K74)</f>
        <v/>
      </c>
      <c r="O74" s="958"/>
      <c r="P74" s="958"/>
      <c r="Q74" s="958" t="s">
        <v>158</v>
      </c>
      <c r="R74" s="958"/>
      <c r="S74" s="958"/>
      <c r="T74" s="844"/>
      <c r="U74" s="844"/>
      <c r="V74" s="844" t="s">
        <v>2193</v>
      </c>
      <c r="W74" s="844"/>
      <c r="X74" s="844"/>
      <c r="Y74" s="1001"/>
      <c r="Z74" s="847"/>
      <c r="AA74" s="850"/>
      <c r="AB74" s="847"/>
      <c r="AC74" s="847"/>
      <c r="AD74" s="847"/>
    </row>
    <row customHeight="1" ht="18">
      <c r="A75" s="846"/>
      <c r="B75" s="900">
        <v>58</v>
      </c>
      <c r="C75" s="844"/>
      <c r="D75" s="968"/>
      <c r="E75" s="844"/>
      <c r="F75" s="844" t="s">
        <v>2172</v>
      </c>
      <c r="G75" s="844"/>
      <c r="H75" s="892"/>
      <c r="I75" s="1006">
        <f>INDEX(TEMPLATE_NUMBER_POINT_FHD,B75,MATCH(TEMPLATE_SPHERE,TEMPLATE_SPHERE_LIST_FOR_NOTE,0))</f>
        <v>0</v>
      </c>
      <c r="J75" s="1006">
        <f>INDEX(TEMPLATE_DATA_POINT_FHD,B75,MATCH(TEMPLATE_SPHERE,TEMPLATE_SPHERE_LIST_FOR_NOTE,0))</f>
        <v>0</v>
      </c>
      <c r="K75" s="1006">
        <f>INDEX(TEMPLATE_NOTE_POINT_FHD,B75,MATCH(TEMPLATE_SPHERE,TEMPLATE_SPHERE_LIST_FOR_NOTE,0))</f>
        <v>0</v>
      </c>
      <c r="L75" s="845" t="str">
        <f>IF(I75=0,"",I75)</f>
        <v/>
      </c>
      <c r="M75" s="845" t="str">
        <f>IF(J75=0,"",J75)</f>
        <v/>
      </c>
      <c r="N75" s="845" t="str">
        <f>IF(K75=0,"",K75)</f>
        <v/>
      </c>
      <c r="O75" s="958"/>
      <c r="P75" s="958"/>
      <c r="Q75" s="958"/>
      <c r="R75" s="958" t="s">
        <v>94</v>
      </c>
      <c r="S75" s="958"/>
      <c r="T75" s="844"/>
      <c r="U75" s="844"/>
      <c r="V75" s="844"/>
      <c r="W75" s="844" t="s">
        <v>2194</v>
      </c>
      <c r="X75" s="844"/>
      <c r="Y75" s="1001"/>
      <c r="Z75" s="847"/>
      <c r="AA75" s="850"/>
      <c r="AB75" s="847"/>
      <c r="AC75" s="847"/>
      <c r="AD75" s="847"/>
    </row>
    <row customHeight="1" ht="36">
      <c r="A76" s="846"/>
      <c r="B76" s="900">
        <v>59</v>
      </c>
      <c r="C76" s="844"/>
      <c r="D76" s="968"/>
      <c r="E76" s="844"/>
      <c r="F76" s="844" t="s">
        <v>2174</v>
      </c>
      <c r="G76" s="844"/>
      <c r="H76" s="892"/>
      <c r="I76" s="1006">
        <f>INDEX(TEMPLATE_NUMBER_POINT_FHD,B76,MATCH(TEMPLATE_SPHERE,TEMPLATE_SPHERE_LIST_FOR_NOTE,0))</f>
        <v>0</v>
      </c>
      <c r="J76" s="1006">
        <f>INDEX(TEMPLATE_DATA_POINT_FHD,B76,MATCH(TEMPLATE_SPHERE,TEMPLATE_SPHERE_LIST_FOR_NOTE,0))</f>
        <v>0</v>
      </c>
      <c r="K76" s="1006">
        <f>INDEX(TEMPLATE_NOTE_POINT_FHD,B76,MATCH(TEMPLATE_SPHERE,TEMPLATE_SPHERE_LIST_FOR_NOTE,0))</f>
        <v>0</v>
      </c>
      <c r="L76" s="845" t="str">
        <f>IF(I76=0,"",I76)</f>
        <v/>
      </c>
      <c r="M76" s="845" t="str">
        <f>IF(J76=0,"",J76)</f>
        <v/>
      </c>
      <c r="N76" s="845" t="str">
        <f>IF(K76=0,"",K76)</f>
        <v/>
      </c>
      <c r="O76" s="958"/>
      <c r="P76" s="958"/>
      <c r="Q76" s="958"/>
      <c r="R76" s="958" t="s">
        <v>120</v>
      </c>
      <c r="S76" s="958"/>
      <c r="T76" s="844"/>
      <c r="U76" s="844"/>
      <c r="V76" s="844"/>
      <c r="W76" s="844" t="s">
        <v>2195</v>
      </c>
      <c r="X76" s="844"/>
      <c r="Y76" s="1001"/>
      <c r="Z76" s="847"/>
      <c r="AA76" s="850"/>
      <c r="AB76" s="847"/>
      <c r="AC76" s="847"/>
      <c r="AD76" s="847"/>
    </row>
    <row customHeight="1" ht="18">
      <c r="A77" s="846"/>
      <c r="B77" s="900">
        <v>60</v>
      </c>
      <c r="C77" s="844"/>
      <c r="D77" s="968"/>
      <c r="E77" s="844"/>
      <c r="F77" s="844" t="s">
        <v>2176</v>
      </c>
      <c r="G77" s="844"/>
      <c r="H77" s="892"/>
      <c r="I77" s="1006">
        <f>INDEX(TEMPLATE_NUMBER_POINT_FHD,B77,MATCH(TEMPLATE_SPHERE,TEMPLATE_SPHERE_LIST_FOR_NOTE,0))</f>
        <v>0</v>
      </c>
      <c r="J77" s="1006">
        <f>INDEX(TEMPLATE_DATA_POINT_FHD,B77,MATCH(TEMPLATE_SPHERE,TEMPLATE_SPHERE_LIST_FOR_NOTE,0))</f>
        <v>0</v>
      </c>
      <c r="K77" s="1006">
        <f>INDEX(TEMPLATE_NOTE_POINT_FHD,B77,MATCH(TEMPLATE_SPHERE,TEMPLATE_SPHERE_LIST_FOR_NOTE,0))</f>
        <v>0</v>
      </c>
      <c r="L77" s="845" t="str">
        <f>IF(I77=0,"",I77)</f>
        <v/>
      </c>
      <c r="M77" s="845" t="str">
        <f>IF(J77=0,"",J77)</f>
        <v/>
      </c>
      <c r="N77" s="845" t="str">
        <f>IF(K77=0,"",K77)</f>
        <v/>
      </c>
      <c r="O77" s="958"/>
      <c r="P77" s="958"/>
      <c r="Q77" s="958"/>
      <c r="R77" s="958" t="s">
        <v>156</v>
      </c>
      <c r="S77" s="958"/>
      <c r="T77" s="844"/>
      <c r="U77" s="844"/>
      <c r="V77" s="844"/>
      <c r="W77" s="844" t="s">
        <v>2196</v>
      </c>
      <c r="X77" s="844"/>
      <c r="Y77" s="1001"/>
      <c r="Z77" s="847"/>
      <c r="AA77" s="850"/>
      <c r="AB77" s="847"/>
      <c r="AC77" s="847"/>
      <c r="AD77" s="847"/>
    </row>
    <row customHeight="1" ht="72">
      <c r="A78" s="846"/>
      <c r="B78" s="900">
        <v>61</v>
      </c>
      <c r="C78" s="844" t="s">
        <v>2172</v>
      </c>
      <c r="D78" s="968"/>
      <c r="E78" s="844"/>
      <c r="F78" s="844"/>
      <c r="G78" s="844"/>
      <c r="H78" s="892"/>
      <c r="I78" s="1006" t="str">
        <f>INDEX(TEMPLATE_NUMBER_POINT_FHD,B78,MATCH(TEMPLATE_SPHERE,TEMPLATE_SPHERE_LIST_FOR_NOTE,0))</f>
        <v>7</v>
      </c>
      <c r="J78" s="1006" t="str">
        <f>INDEX(TEMPLATE_DATA_POINT_FHD,B78,MATCH(TEMPLATE_SPHERE,TEMPLATE_SPHERE_LIST_FOR_NOTE,0))</f>
        <v>Установленная тепловая мощность объектов основных фондов, используемых для теплоснабжения, в том числе по каждому источнику тепловой энергии</v>
      </c>
      <c r="K78" s="1006" t="str">
        <f>INDEX(TEMPLATE_NOTE_POINT_FHD,B78,MATCH(TEMPLATE_SPHERE,TEMPLATE_SPHERE_LIST_FOR_NOTE,0))</f>
        <v>Указывается суммарная установленная тепловая мощность объектов основных фондов, используемых для осуществления теплоснабжения.
Регулируемыми организациями указывается информация по объектам, используемым для осуществления регулируемых видов деятельности.</v>
      </c>
      <c r="L78" s="845" t="str">
        <f>IF(I78=0,"",I78)</f>
        <v>7</v>
      </c>
      <c r="M78" s="845" t="str">
        <f>IF(J78=0,"",J78)</f>
        <v>Установленная тепловая мощность объектов основных фондов, используемых для теплоснабжения, в том числе по каждому источнику тепловой энергии</v>
      </c>
      <c r="N78" s="845" t="str">
        <f>IF(K78=0,"",K78)</f>
        <v>Указывается суммарная установленная тепловая мощность объектов основных фондов, используемых для осуществления теплоснабжения.
Регулируемыми организациями указывается информация по объектам, используемым для осуществления регулируемых видов деятельности.</v>
      </c>
      <c r="O78" s="958" t="s">
        <v>94</v>
      </c>
      <c r="P78" s="958"/>
      <c r="Q78" s="958"/>
      <c r="R78" s="958"/>
      <c r="S78" s="958"/>
      <c r="T78" s="844" t="s">
        <v>653</v>
      </c>
      <c r="U78" s="844"/>
      <c r="V78" s="844"/>
      <c r="W78" s="844"/>
      <c r="X78" s="844"/>
      <c r="Y78" s="1001"/>
      <c r="Z78" s="847" t="s">
        <v>2197</v>
      </c>
      <c r="AA78" s="850"/>
      <c r="AB78" s="847"/>
      <c r="AC78" s="847"/>
      <c r="AD78" s="847"/>
    </row>
    <row customHeight="1" ht="36">
      <c r="A79" s="846"/>
      <c r="B79" s="900">
        <v>62</v>
      </c>
      <c r="C79" s="844" t="s">
        <v>2174</v>
      </c>
      <c r="D79" s="968"/>
      <c r="E79" s="844"/>
      <c r="F79" s="844"/>
      <c r="G79" s="844"/>
      <c r="H79" s="892"/>
      <c r="I79" s="1006" t="str">
        <f>INDEX(TEMPLATE_NUMBER_POINT_FHD,B79,MATCH(TEMPLATE_SPHERE,TEMPLATE_SPHERE_LIST_FOR_NOTE,0))</f>
        <v>8</v>
      </c>
      <c r="J79" s="1006" t="str">
        <f>INDEX(TEMPLATE_DATA_POINT_FHD,B79,MATCH(TEMPLATE_SPHERE,TEMPLATE_SPHERE_LIST_FOR_NOTE,0))</f>
        <v>Тепловая нагрузка по договорам, заключенным в рамках осуществления регулируемых видов деятельности</v>
      </c>
      <c r="K79" s="1006" t="str">
        <f>INDEX(TEMPLATE_NOTE_POINT_FHD,B79,MATCH(TEMPLATE_SPHERE,TEMPLATE_SPHERE_LIST_FOR_NOTE,0))</f>
        <v>Регулируемыми организациями указывается информация по договорам, заключенным в рамках осуществления регулируемых видов деятельности</v>
      </c>
      <c r="L79" s="845" t="str">
        <f>IF(I79=0,"",I79)</f>
        <v>8</v>
      </c>
      <c r="M79" s="845" t="str">
        <f>IF(J79=0,"",J79)</f>
        <v>Тепловая нагрузка по договорам, заключенным в рамках осуществления регулируемых видов деятельности</v>
      </c>
      <c r="N79" s="845" t="str">
        <f>IF(K79=0,"",K79)</f>
        <v>Регулируемыми организациями указывается информация по договорам, заключенным в рамках осуществления регулируемых видов деятельности</v>
      </c>
      <c r="O79" s="958" t="s">
        <v>120</v>
      </c>
      <c r="P79" s="958"/>
      <c r="Q79" s="958"/>
      <c r="R79" s="958"/>
      <c r="S79" s="958"/>
      <c r="T79" s="844" t="s">
        <v>2198</v>
      </c>
      <c r="U79" s="844"/>
      <c r="V79" s="844"/>
      <c r="W79" s="844"/>
      <c r="X79" s="844"/>
      <c r="Y79" s="1001"/>
      <c r="Z79" s="847" t="s">
        <v>2199</v>
      </c>
      <c r="AA79" s="850"/>
      <c r="AB79" s="847"/>
      <c r="AC79" s="847"/>
      <c r="AD79" s="847"/>
    </row>
    <row customHeight="1" ht="45">
      <c r="A80" s="846"/>
      <c r="B80" s="900">
        <v>63</v>
      </c>
      <c r="C80" s="844" t="s">
        <v>2176</v>
      </c>
      <c r="D80" s="968"/>
      <c r="E80" s="844"/>
      <c r="F80" s="844"/>
      <c r="G80" s="844"/>
      <c r="H80" s="892"/>
      <c r="I80" s="1006" t="str">
        <f>INDEX(TEMPLATE_NUMBER_POINT_FHD,B80,MATCH(TEMPLATE_SPHERE,TEMPLATE_SPHERE_LIST_FOR_NOTE,0))</f>
        <v>9</v>
      </c>
      <c r="J80" s="1006" t="str">
        <f>INDEX(TEMPLATE_DATA_POINT_FHD,B80,MATCH(TEMPLATE_SPHERE,TEMPLATE_SPHERE_LIST_FOR_NOTE,0))</f>
        <v>Объем вырабатываемой регулируемой организацией тепловой энергии в рамках осуществления регулируемых видов деятельности</v>
      </c>
      <c r="K80" s="1006" t="str">
        <f>INDEX(TEMPLATE_NOTE_POINT_FHD,B80,MATCH(TEMPLATE_SPHERE,TEMPLATE_SPHERE_LIST_FOR_NOTE,0))</f>
        <v>Регулируемыми организациями указывается информация тепловой энергии, выработанной в рамках осуществления регулируемых видов деятельности.</v>
      </c>
      <c r="L80" s="845" t="str">
        <f>IF(I80=0,"",I80)</f>
        <v>9</v>
      </c>
      <c r="M80" s="845" t="str">
        <f>IF(J80=0,"",J80)</f>
        <v>Объем вырабатываемой регулируемой организацией тепловой энергии в рамках осуществления регулируемых видов деятельности</v>
      </c>
      <c r="N80" s="845" t="str">
        <f>IF(K80=0,"",K80)</f>
        <v>Регулируемыми организациями указывается информация тепловой энергии, выработанной в рамках осуществления регулируемых видов деятельности.</v>
      </c>
      <c r="O80" s="958" t="s">
        <v>156</v>
      </c>
      <c r="P80" s="958"/>
      <c r="Q80" s="958"/>
      <c r="R80" s="958"/>
      <c r="S80" s="958"/>
      <c r="T80" s="844" t="s">
        <v>2200</v>
      </c>
      <c r="U80" s="844"/>
      <c r="V80" s="844"/>
      <c r="W80" s="844"/>
      <c r="X80" s="844"/>
      <c r="Y80" s="1001"/>
      <c r="Z80" s="847" t="s">
        <v>2201</v>
      </c>
      <c r="AA80" s="850"/>
      <c r="AB80" s="847"/>
      <c r="AC80" s="847"/>
      <c r="AD80" s="847"/>
    </row>
    <row customHeight="1" ht="36">
      <c r="A81" s="846"/>
      <c r="B81" s="900">
        <v>64</v>
      </c>
      <c r="C81" s="844" t="s">
        <v>2178</v>
      </c>
      <c r="D81" s="968"/>
      <c r="E81" s="844"/>
      <c r="F81" s="844"/>
      <c r="G81" s="844"/>
      <c r="H81" s="892"/>
      <c r="I81" s="1006" t="str">
        <f>INDEX(TEMPLATE_NUMBER_POINT_FHD,B81,MATCH(TEMPLATE_SPHERE,TEMPLATE_SPHERE_LIST_FOR_NOTE,0))</f>
        <v>9.1</v>
      </c>
      <c r="J81" s="1006" t="str">
        <f>INDEX(TEMPLATE_DATA_POINT_FHD,B81,MATCH(TEMPLATE_SPHERE,TEMPLATE_SPHERE_LIST_FOR_NOTE,0))</f>
        <v>Объем приобретаемой регулируемой организацией тепловой энергии в рамках осуществления регулируемых видов деятельности</v>
      </c>
      <c r="K81" s="1006" t="str">
        <f>INDEX(TEMPLATE_NOTE_POINT_FHD,B81,MATCH(TEMPLATE_SPHERE,TEMPLATE_SPHERE_LIST_FOR_NOTE,0))</f>
        <v>Информация указывается только едиными теплоснабжающими организациями.</v>
      </c>
      <c r="L81" s="845" t="str">
        <f>IF(I81=0,"",I81)</f>
        <v>9.1</v>
      </c>
      <c r="M81" s="845" t="str">
        <f>IF(J81=0,"",J81)</f>
        <v>Объем приобретаемой регулируемой организацией тепловой энергии в рамках осуществления регулируемых видов деятельности</v>
      </c>
      <c r="N81" s="845" t="str">
        <f>IF(K81=0,"",K81)</f>
        <v>Информация указывается только едиными теплоснабжающими организациями.</v>
      </c>
      <c r="O81" s="958" t="s">
        <v>2084</v>
      </c>
      <c r="P81" s="958"/>
      <c r="Q81" s="958"/>
      <c r="R81" s="958"/>
      <c r="S81" s="958"/>
      <c r="T81" s="844" t="s">
        <v>2202</v>
      </c>
      <c r="U81" s="844"/>
      <c r="V81" s="844"/>
      <c r="W81" s="844"/>
      <c r="X81" s="844"/>
      <c r="Y81" s="1001"/>
      <c r="Z81" s="847" t="s">
        <v>2203</v>
      </c>
      <c r="AA81" s="850"/>
      <c r="AB81" s="847"/>
      <c r="AC81" s="847"/>
      <c r="AD81" s="847"/>
    </row>
    <row customHeight="1" ht="90">
      <c r="A82" s="846"/>
      <c r="B82" s="900">
        <v>65</v>
      </c>
      <c r="C82" s="844" t="s">
        <v>2187</v>
      </c>
      <c r="D82" s="968"/>
      <c r="E82" s="844"/>
      <c r="F82" s="844"/>
      <c r="G82" s="844"/>
      <c r="H82" s="892"/>
      <c r="I82" s="1006" t="str">
        <f>INDEX(TEMPLATE_NUMBER_POINT_FHD,B82,MATCH(TEMPLATE_SPHERE,TEMPLATE_SPHERE_LIST_FOR_NOTE,0))</f>
        <v>10</v>
      </c>
      <c r="J82" s="1006" t="str">
        <f>INDEX(TEMPLATE_DATA_POINT_FHD,B82,MATCH(TEMPLATE_SPHERE,TEMPLATE_SPHERE_LIST_FOR_NOTE,0))</f>
        <v>Объем тепловой энергии, отпускаемой потребителям по договорам, заключенным в рамках осуществления регулируемых видов деятельности, определенном в том числе</v>
      </c>
      <c r="K82" s="1006" t="str">
        <f>INDEX(TEMPLATE_NOTE_POINT_FHD,B82,MATCH(TEMPLATE_SPHERE,TEMPLATE_SPHERE_LIST_FOR_NOTE,0))</f>
        <v>Указывается общий объем тепловой энергии, отпускаемой потребителям.
Регулируемыми организациями указывается информация, включая отдельно сведения об определенном по приборам учета объеме тепловой энергии, отпускаемой потребителям по договорам, максимальный объем потребления тепловой энергии объектов которых составляет менее чем 0,2 Гкал/ч</v>
      </c>
      <c r="L82" s="845" t="str">
        <f>IF(I82=0,"",I82)</f>
        <v>10</v>
      </c>
      <c r="M82" s="845" t="str">
        <f>IF(J82=0,"",J82)</f>
        <v>Объем тепловой энергии, отпускаемой потребителям по договорам, заключенным в рамках осуществления регулируемых видов деятельности, определенном в том числе</v>
      </c>
      <c r="N82" s="845" t="str">
        <f>IF(K82=0,"",K82)</f>
        <v>Указывается общий объем тепловой энергии, отпускаемой потребителям.
Регулируемыми организациями указывается информация, включая отдельно сведения об определенном по приборам учета объеме тепловой энергии, отпускаемой потребителям по договорам, максимальный объем потребления тепловой энергии объектов которых составляет менее чем 0,2 Гкал/ч</v>
      </c>
      <c r="O82" s="958" t="s">
        <v>157</v>
      </c>
      <c r="P82" s="958"/>
      <c r="Q82" s="958"/>
      <c r="R82" s="958"/>
      <c r="S82" s="958"/>
      <c r="T82" s="844" t="s">
        <v>2204</v>
      </c>
      <c r="U82" s="844"/>
      <c r="V82" s="844"/>
      <c r="W82" s="844"/>
      <c r="X82" s="844"/>
      <c r="Y82" s="1001"/>
      <c r="Z82" s="847" t="s">
        <v>2205</v>
      </c>
      <c r="AA82" s="850"/>
      <c r="AB82" s="847"/>
      <c r="AC82" s="847"/>
      <c r="AD82" s="847"/>
    </row>
    <row customHeight="1" ht="9">
      <c r="A83" s="846"/>
      <c r="B83" s="900">
        <v>66</v>
      </c>
      <c r="C83" s="844"/>
      <c r="D83" s="968"/>
      <c r="E83" s="844"/>
      <c r="F83" s="844"/>
      <c r="G83" s="844"/>
      <c r="H83" s="892"/>
      <c r="I83" s="1006" t="str">
        <f>INDEX(TEMPLATE_NUMBER_POINT_FHD,B83,MATCH(TEMPLATE_SPHERE,TEMPLATE_SPHERE_LIST_FOR_NOTE,0))</f>
        <v>10.1</v>
      </c>
      <c r="J83" s="1006" t="str">
        <f>INDEX(TEMPLATE_DATA_POINT_FHD,B83,MATCH(TEMPLATE_SPHERE,TEMPLATE_SPHERE_LIST_FOR_NOTE,0))</f>
        <v>По приборам учёта </v>
      </c>
      <c r="K83" s="1006">
        <f>INDEX(TEMPLATE_NOTE_POINT_FHD,B83,MATCH(TEMPLATE_SPHERE,TEMPLATE_SPHERE_LIST_FOR_NOTE,0))</f>
        <v>0</v>
      </c>
      <c r="L83" s="845" t="str">
        <f>IF(I83=0,"",I83)</f>
        <v>10.1</v>
      </c>
      <c r="M83" s="845" t="str">
        <f>IF(J83=0,"",J83)</f>
        <v>По приборам учёта </v>
      </c>
      <c r="N83" s="845" t="str">
        <f>IF(K83=0,"",K83)</f>
        <v/>
      </c>
      <c r="O83" s="958" t="s">
        <v>2093</v>
      </c>
      <c r="P83" s="958"/>
      <c r="Q83" s="958"/>
      <c r="R83" s="958"/>
      <c r="S83" s="958"/>
      <c r="T83" s="844" t="s">
        <v>2206</v>
      </c>
      <c r="U83" s="844"/>
      <c r="V83" s="844"/>
      <c r="W83" s="844"/>
      <c r="X83" s="844"/>
      <c r="Y83" s="1001"/>
      <c r="Z83" s="847"/>
      <c r="AA83" s="850"/>
      <c r="AB83" s="847"/>
      <c r="AC83" s="847"/>
      <c r="AD83" s="847"/>
    </row>
    <row customHeight="1" ht="54">
      <c r="A84" s="846"/>
      <c r="B84" s="900">
        <v>67</v>
      </c>
      <c r="C84" s="844"/>
      <c r="D84" s="968"/>
      <c r="E84" s="844"/>
      <c r="F84" s="844"/>
      <c r="G84" s="844"/>
      <c r="H84" s="892"/>
      <c r="I84" s="1006" t="str">
        <f>INDEX(TEMPLATE_NUMBER_POINT_FHD,B84,MATCH(TEMPLATE_SPHERE,TEMPLATE_SPHERE_LIST_FOR_NOTE,0))</f>
        <v>10.1.1</v>
      </c>
      <c r="J84" s="1006" t="str">
        <f>INDEX(TEMPLATE_DATA_POINT_FHD,B84,MATCH(TEMPLATE_SPHERE,TEMPLATE_SPHERE_LIST_FOR_NOTE,0))</f>
        <v>Определенный по приборам учета объем тепловой энергии, отпускаемой по договорам потребителям, максимальный объем потребления тепловой энергии объектов которых составляет менее чем 0,2 Гкал</v>
      </c>
      <c r="K84" s="1006">
        <f>INDEX(TEMPLATE_NOTE_POINT_FHD,B84,MATCH(TEMPLATE_SPHERE,TEMPLATE_SPHERE_LIST_FOR_NOTE,0))</f>
        <v>0</v>
      </c>
      <c r="L84" s="845" t="str">
        <f>IF(I84=0,"",I84)</f>
        <v>10.1.1</v>
      </c>
      <c r="M84" s="845" t="str">
        <f>IF(J84=0,"",J84)</f>
        <v>Определенный по приборам учета объем тепловой энергии, отпускаемой по договорам потребителям, максимальный объем потребления тепловой энергии объектов которых составляет менее чем 0,2 Гкал</v>
      </c>
      <c r="N84" s="845" t="str">
        <f>IF(K84=0,"",K84)</f>
        <v/>
      </c>
      <c r="O84" s="958" t="s">
        <v>2207</v>
      </c>
      <c r="P84" s="958"/>
      <c r="Q84" s="958"/>
      <c r="R84" s="958"/>
      <c r="S84" s="958"/>
      <c r="T84" s="844" t="s">
        <v>2208</v>
      </c>
      <c r="U84" s="844"/>
      <c r="V84" s="844"/>
      <c r="W84" s="844"/>
      <c r="X84" s="844"/>
      <c r="Y84" s="1001"/>
      <c r="Z84" s="847"/>
      <c r="AA84" s="850"/>
      <c r="AB84" s="847"/>
      <c r="AC84" s="847"/>
      <c r="AD84" s="847"/>
    </row>
    <row customHeight="1" ht="9">
      <c r="A85" s="846"/>
      <c r="B85" s="900">
        <v>68</v>
      </c>
      <c r="C85" s="844"/>
      <c r="D85" s="968"/>
      <c r="E85" s="844"/>
      <c r="F85" s="844"/>
      <c r="G85" s="844"/>
      <c r="H85" s="892"/>
      <c r="I85" s="1006" t="str">
        <f>INDEX(TEMPLATE_NUMBER_POINT_FHD,B85,MATCH(TEMPLATE_SPHERE,TEMPLATE_SPHERE_LIST_FOR_NOTE,0))</f>
        <v>10.2</v>
      </c>
      <c r="J85" s="1006" t="str">
        <f>INDEX(TEMPLATE_DATA_POINT_FHD,B85,MATCH(TEMPLATE_SPHERE,TEMPLATE_SPHERE_LIST_FOR_NOTE,0))</f>
        <v>Расчётным путём</v>
      </c>
      <c r="K85" s="1006">
        <f>INDEX(TEMPLATE_NOTE_POINT_FHD,B85,MATCH(TEMPLATE_SPHERE,TEMPLATE_SPHERE_LIST_FOR_NOTE,0))</f>
        <v>0</v>
      </c>
      <c r="L85" s="845" t="str">
        <f>IF(I85=0,"",I85)</f>
        <v>10.2</v>
      </c>
      <c r="M85" s="845" t="str">
        <f>IF(J85=0,"",J85)</f>
        <v>Расчётным путём</v>
      </c>
      <c r="N85" s="845" t="str">
        <f>IF(K85=0,"",K85)</f>
        <v/>
      </c>
      <c r="O85" s="958" t="s">
        <v>2097</v>
      </c>
      <c r="P85" s="958"/>
      <c r="Q85" s="958"/>
      <c r="R85" s="958"/>
      <c r="S85" s="958"/>
      <c r="T85" s="844" t="s">
        <v>2209</v>
      </c>
      <c r="U85" s="844"/>
      <c r="V85" s="844"/>
      <c r="W85" s="844"/>
      <c r="X85" s="844"/>
      <c r="Y85" s="1001"/>
      <c r="Z85" s="847"/>
      <c r="AA85" s="850"/>
      <c r="AB85" s="847"/>
      <c r="AC85" s="847"/>
      <c r="AD85" s="847"/>
    </row>
    <row customHeight="1" ht="27">
      <c r="A86" s="846"/>
      <c r="B86" s="900">
        <v>69</v>
      </c>
      <c r="C86" s="844"/>
      <c r="D86" s="968"/>
      <c r="E86" s="844"/>
      <c r="F86" s="844"/>
      <c r="G86" s="844"/>
      <c r="H86" s="892"/>
      <c r="I86" s="1006" t="str">
        <f>INDEX(TEMPLATE_NUMBER_POINT_FHD,B86,MATCH(TEMPLATE_SPHERE,TEMPLATE_SPHERE_LIST_FOR_NOTE,0))</f>
        <v>10.3</v>
      </c>
      <c r="J86" s="1006" t="str">
        <f>INDEX(TEMPLATE_DATA_POINT_FHD,B86,MATCH(TEMPLATE_SPHERE,TEMPLATE_SPHERE_LIST_FOR_NOTE,0))</f>
        <v>По нормативам потребления коммунальных услуг и нормативам потребления коммунальных ресурсов</v>
      </c>
      <c r="K86" s="1006">
        <f>INDEX(TEMPLATE_NOTE_POINT_FHD,B86,MATCH(TEMPLATE_SPHERE,TEMPLATE_SPHERE_LIST_FOR_NOTE,0))</f>
        <v>0</v>
      </c>
      <c r="L86" s="845" t="str">
        <f>IF(I86=0,"",I86)</f>
        <v>10.3</v>
      </c>
      <c r="M86" s="845" t="str">
        <f>IF(J86=0,"",J86)</f>
        <v>По нормативам потребления коммунальных услуг и нормативам потребления коммунальных ресурсов</v>
      </c>
      <c r="N86" s="845" t="str">
        <f>IF(K86=0,"",K86)</f>
        <v/>
      </c>
      <c r="O86" s="958" t="s">
        <v>2210</v>
      </c>
      <c r="P86" s="958"/>
      <c r="Q86" s="958"/>
      <c r="R86" s="958"/>
      <c r="S86" s="958"/>
      <c r="T86" s="844" t="s">
        <v>2211</v>
      </c>
      <c r="U86" s="844"/>
      <c r="V86" s="844"/>
      <c r="W86" s="844"/>
      <c r="X86" s="844"/>
      <c r="Y86" s="1001"/>
      <c r="Z86" s="847"/>
      <c r="AA86" s="850"/>
      <c r="AB86" s="847"/>
      <c r="AC86" s="847"/>
      <c r="AD86" s="847"/>
    </row>
    <row customHeight="1" ht="36">
      <c r="A87" s="846"/>
      <c r="B87" s="900">
        <v>70</v>
      </c>
      <c r="C87" s="844" t="s">
        <v>2212</v>
      </c>
      <c r="D87" s="968"/>
      <c r="E87" s="844"/>
      <c r="F87" s="844"/>
      <c r="G87" s="844"/>
      <c r="H87" s="892"/>
      <c r="I87" s="1006" t="str">
        <f>INDEX(TEMPLATE_NUMBER_POINT_FHD,B87,MATCH(TEMPLATE_SPHERE,TEMPLATE_SPHERE_LIST_FOR_NOTE,0))</f>
        <v>11</v>
      </c>
      <c r="J87" s="1006" t="str">
        <f>INDEX(TEMPLATE_DATA_POINT_FHD,B87,MATCH(TEMPLATE_SPHERE,TEMPLATE_SPHERE_LIST_FOR_NOTE,0))</f>
        <v>Нормативы технологических потерь при передаче тепловой энергии, теплоносителя по тепловым сетям, утвержденные уполномоченным органом</v>
      </c>
      <c r="K87" s="1006">
        <f>INDEX(TEMPLATE_NOTE_POINT_FHD,B87,MATCH(TEMPLATE_SPHERE,TEMPLATE_SPHERE_LIST_FOR_NOTE,0))</f>
        <v>0</v>
      </c>
      <c r="L87" s="845" t="str">
        <f>IF(I87=0,"",I87)</f>
        <v>11</v>
      </c>
      <c r="M87" s="845" t="str">
        <f>IF(J87=0,"",J87)</f>
        <v>Нормативы технологических потерь при передаче тепловой энергии, теплоносителя по тепловым сетям, утвержденные уполномоченным органом</v>
      </c>
      <c r="N87" s="845" t="str">
        <f>IF(K87=0,"",K87)</f>
        <v/>
      </c>
      <c r="O87" s="958" t="s">
        <v>158</v>
      </c>
      <c r="P87" s="958"/>
      <c r="Q87" s="958"/>
      <c r="R87" s="958"/>
      <c r="S87" s="958"/>
      <c r="T87" s="844" t="s">
        <v>2213</v>
      </c>
      <c r="U87" s="844"/>
      <c r="V87" s="844"/>
      <c r="W87" s="844"/>
      <c r="X87" s="844"/>
      <c r="Y87" s="1001"/>
      <c r="Z87" s="847"/>
      <c r="AA87" s="850"/>
      <c r="AB87" s="847"/>
      <c r="AC87" s="847"/>
      <c r="AD87" s="847"/>
    </row>
    <row customHeight="1" ht="18">
      <c r="A88" s="846"/>
      <c r="B88" s="900">
        <v>71</v>
      </c>
      <c r="C88" s="844" t="s">
        <v>2214</v>
      </c>
      <c r="D88" s="968"/>
      <c r="E88" s="844"/>
      <c r="F88" s="844"/>
      <c r="G88" s="844"/>
      <c r="H88" s="892"/>
      <c r="I88" s="1006" t="str">
        <f>INDEX(TEMPLATE_NUMBER_POINT_FHD,B88,MATCH(TEMPLATE_SPHERE,TEMPLATE_SPHERE_LIST_FOR_NOTE,0))</f>
        <v>12</v>
      </c>
      <c r="J88" s="1006" t="str">
        <f>INDEX(TEMPLATE_DATA_POINT_FHD,B88,MATCH(TEMPLATE_SPHERE,TEMPLATE_SPHERE_LIST_FOR_NOTE,0))</f>
        <v>Фактический объем потерь при передаче тепловой энергии</v>
      </c>
      <c r="K88" s="1006">
        <f>INDEX(TEMPLATE_NOTE_POINT_FHD,B88,MATCH(TEMPLATE_SPHERE,TEMPLATE_SPHERE_LIST_FOR_NOTE,0))</f>
        <v>0</v>
      </c>
      <c r="L88" s="845" t="str">
        <f>IF(I88=0,"",I88)</f>
        <v>12</v>
      </c>
      <c r="M88" s="845" t="str">
        <f>IF(J88=0,"",J88)</f>
        <v>Фактический объем потерь при передаче тепловой энергии</v>
      </c>
      <c r="N88" s="845" t="str">
        <f>IF(K88=0,"",K88)</f>
        <v/>
      </c>
      <c r="O88" s="958" t="s">
        <v>159</v>
      </c>
      <c r="P88" s="958"/>
      <c r="Q88" s="958"/>
      <c r="R88" s="958"/>
      <c r="S88" s="958"/>
      <c r="T88" s="844" t="s">
        <v>685</v>
      </c>
      <c r="U88" s="844"/>
      <c r="V88" s="844"/>
      <c r="W88" s="844"/>
      <c r="X88" s="844"/>
      <c r="Y88" s="1001"/>
      <c r="Z88" s="847"/>
      <c r="AA88" s="850"/>
      <c r="AB88" s="847"/>
      <c r="AC88" s="847"/>
      <c r="AD88" s="847"/>
    </row>
    <row customHeight="1" ht="18">
      <c r="A89" s="846"/>
      <c r="B89" s="900">
        <v>72</v>
      </c>
      <c r="C89" s="844" t="s">
        <v>2215</v>
      </c>
      <c r="D89" s="968" t="s">
        <v>2212</v>
      </c>
      <c r="E89" s="844" t="s">
        <v>2212</v>
      </c>
      <c r="F89" s="844" t="s">
        <v>2178</v>
      </c>
      <c r="G89" s="844"/>
      <c r="H89" s="892"/>
      <c r="I89" s="1006" t="str">
        <f>INDEX(TEMPLATE_NUMBER_POINT_FHD,B89,MATCH(TEMPLATE_SPHERE,TEMPLATE_SPHERE_LIST_FOR_NOTE,0))</f>
        <v>13</v>
      </c>
      <c r="J89" s="1006" t="str">
        <f>INDEX(TEMPLATE_DATA_POINT_FHD,B89,MATCH(TEMPLATE_SPHERE,TEMPLATE_SPHERE_LIST_FOR_NOTE,0))</f>
        <v>Среднесписочная численность основного производственного персонала</v>
      </c>
      <c r="K89" s="1006">
        <f>INDEX(TEMPLATE_NOTE_POINT_FHD,B89,MATCH(TEMPLATE_SPHERE,TEMPLATE_SPHERE_LIST_FOR_NOTE,0))</f>
        <v>0</v>
      </c>
      <c r="L89" s="845" t="str">
        <f>IF(I89=0,"",I89)</f>
        <v>13</v>
      </c>
      <c r="M89" s="845" t="str">
        <f>IF(J89=0,"",J89)</f>
        <v>Среднесписочная численность основного производственного персонала</v>
      </c>
      <c r="N89" s="845" t="str">
        <f>IF(K89=0,"",K89)</f>
        <v/>
      </c>
      <c r="O89" s="958" t="s">
        <v>160</v>
      </c>
      <c r="P89" s="958" t="s">
        <v>159</v>
      </c>
      <c r="Q89" s="958" t="s">
        <v>159</v>
      </c>
      <c r="R89" s="958" t="s">
        <v>157</v>
      </c>
      <c r="S89" s="958"/>
      <c r="T89" s="844" t="s">
        <v>693</v>
      </c>
      <c r="U89" s="844" t="s">
        <v>693</v>
      </c>
      <c r="V89" s="844" t="s">
        <v>693</v>
      </c>
      <c r="W89" s="844" t="s">
        <v>693</v>
      </c>
      <c r="X89" s="844"/>
      <c r="Y89" s="1001"/>
      <c r="Z89" s="847"/>
      <c r="AA89" s="850"/>
      <c r="AB89" s="847"/>
      <c r="AC89" s="847"/>
      <c r="AD89" s="847"/>
    </row>
    <row customHeight="1" ht="27">
      <c r="A90" s="846"/>
      <c r="B90" s="900">
        <v>73</v>
      </c>
      <c r="C90" s="844" t="s">
        <v>2216</v>
      </c>
      <c r="D90" s="968"/>
      <c r="E90" s="844"/>
      <c r="F90" s="844"/>
      <c r="G90" s="844"/>
      <c r="H90" s="892"/>
      <c r="I90" s="1006" t="str">
        <f>INDEX(TEMPLATE_NUMBER_POINT_FHD,B90,MATCH(TEMPLATE_SPHERE,TEMPLATE_SPHERE_LIST_FOR_NOTE,0))</f>
        <v>14</v>
      </c>
      <c r="J90" s="1006" t="str">
        <f>INDEX(TEMPLATE_DATA_POINT_FHD,B90,MATCH(TEMPLATE_SPHERE,TEMPLATE_SPHERE_LIST_FOR_NOTE,0))</f>
        <v>Среднесписочная численность административно-управленческого персонала</v>
      </c>
      <c r="K90" s="1006">
        <f>INDEX(TEMPLATE_NOTE_POINT_FHD,B90,MATCH(TEMPLATE_SPHERE,TEMPLATE_SPHERE_LIST_FOR_NOTE,0))</f>
        <v>0</v>
      </c>
      <c r="L90" s="845" t="str">
        <f>IF(I90=0,"",I90)</f>
        <v>14</v>
      </c>
      <c r="M90" s="845" t="str">
        <f>IF(J90=0,"",J90)</f>
        <v>Среднесписочная численность административно-управленческого персонала</v>
      </c>
      <c r="N90" s="845" t="str">
        <f>IF(K90=0,"",K90)</f>
        <v/>
      </c>
      <c r="O90" s="958" t="s">
        <v>161</v>
      </c>
      <c r="P90" s="958"/>
      <c r="Q90" s="958"/>
      <c r="R90" s="958"/>
      <c r="S90" s="958"/>
      <c r="T90" s="844" t="s">
        <v>695</v>
      </c>
      <c r="U90" s="844"/>
      <c r="V90" s="844"/>
      <c r="W90" s="844"/>
      <c r="X90" s="844"/>
      <c r="Y90" s="1001"/>
      <c r="Z90" s="847"/>
      <c r="AA90" s="850"/>
      <c r="AB90" s="847"/>
      <c r="AC90" s="847"/>
      <c r="AD90" s="847"/>
    </row>
    <row customHeight="1" ht="18">
      <c r="A91" s="846"/>
      <c r="B91" s="900">
        <v>74</v>
      </c>
      <c r="C91" s="844"/>
      <c r="D91" s="968" t="s">
        <v>2214</v>
      </c>
      <c r="E91" s="844" t="s">
        <v>2214</v>
      </c>
      <c r="F91" s="844"/>
      <c r="G91" s="844"/>
      <c r="H91" s="892"/>
      <c r="I91" s="1006">
        <f>INDEX(TEMPLATE_NUMBER_POINT_FHD,B91,MATCH(TEMPLATE_SPHERE,TEMPLATE_SPHERE_LIST_FOR_NOTE,0))</f>
        <v>0</v>
      </c>
      <c r="J91" s="1006">
        <f>INDEX(TEMPLATE_DATA_POINT_FHD,B91,MATCH(TEMPLATE_SPHERE,TEMPLATE_SPHERE_LIST_FOR_NOTE,0))</f>
        <v>0</v>
      </c>
      <c r="K91" s="1006">
        <f>INDEX(TEMPLATE_NOTE_POINT_FHD,B91,MATCH(TEMPLATE_SPHERE,TEMPLATE_SPHERE_LIST_FOR_NOTE,0))</f>
        <v>0</v>
      </c>
      <c r="L91" s="845" t="str">
        <f>IF(I91=0,"",I91)</f>
        <v/>
      </c>
      <c r="M91" s="845" t="str">
        <f>IF(J91=0,"",J91)</f>
        <v/>
      </c>
      <c r="N91" s="845" t="str">
        <f>IF(K91=0,"",K91)</f>
        <v/>
      </c>
      <c r="O91" s="958"/>
      <c r="P91" s="958" t="s">
        <v>160</v>
      </c>
      <c r="Q91" s="958" t="s">
        <v>160</v>
      </c>
      <c r="R91" s="958"/>
      <c r="S91" s="958"/>
      <c r="T91" s="844"/>
      <c r="U91" s="844" t="s">
        <v>2217</v>
      </c>
      <c r="V91" s="844" t="s">
        <v>2217</v>
      </c>
      <c r="W91" s="844"/>
      <c r="X91" s="844"/>
      <c r="Y91" s="1001"/>
      <c r="Z91" s="847"/>
      <c r="AA91" s="850"/>
      <c r="AB91" s="847"/>
      <c r="AC91" s="847"/>
      <c r="AD91" s="847"/>
    </row>
    <row customHeight="1" ht="27">
      <c r="A92" s="846"/>
      <c r="B92" s="900">
        <v>75</v>
      </c>
      <c r="C92" s="844"/>
      <c r="D92" s="968" t="s">
        <v>2215</v>
      </c>
      <c r="E92" s="844"/>
      <c r="F92" s="844"/>
      <c r="G92" s="844"/>
      <c r="H92" s="892"/>
      <c r="I92" s="1006">
        <f>INDEX(TEMPLATE_NUMBER_POINT_FHD,B92,MATCH(TEMPLATE_SPHERE,TEMPLATE_SPHERE_LIST_FOR_NOTE,0))</f>
        <v>0</v>
      </c>
      <c r="J92" s="1006">
        <f>INDEX(TEMPLATE_DATA_POINT_FHD,B92,MATCH(TEMPLATE_SPHERE,TEMPLATE_SPHERE_LIST_FOR_NOTE,0))</f>
        <v>0</v>
      </c>
      <c r="K92" s="1006">
        <f>INDEX(TEMPLATE_NOTE_POINT_FHD,B92,MATCH(TEMPLATE_SPHERE,TEMPLATE_SPHERE_LIST_FOR_NOTE,0))</f>
        <v>0</v>
      </c>
      <c r="L92" s="845" t="str">
        <f>IF(I92=0,"",I92)</f>
        <v/>
      </c>
      <c r="M92" s="845" t="str">
        <f>IF(J92=0,"",J92)</f>
        <v/>
      </c>
      <c r="N92" s="845" t="str">
        <f>IF(K92=0,"",K92)</f>
        <v/>
      </c>
      <c r="O92" s="958"/>
      <c r="P92" s="958" t="s">
        <v>161</v>
      </c>
      <c r="Q92" s="958"/>
      <c r="R92" s="958"/>
      <c r="S92" s="958"/>
      <c r="T92" s="844"/>
      <c r="U92" s="844" t="s">
        <v>2218</v>
      </c>
      <c r="V92" s="844"/>
      <c r="W92" s="844"/>
      <c r="X92" s="844"/>
      <c r="Y92" s="1001"/>
      <c r="Z92" s="847"/>
      <c r="AA92" s="850" t="s">
        <v>2219</v>
      </c>
      <c r="AB92" s="847"/>
      <c r="AC92" s="847"/>
      <c r="AD92" s="847"/>
    </row>
    <row customHeight="1" ht="27">
      <c r="A93" s="846"/>
      <c r="B93" s="900">
        <v>76</v>
      </c>
      <c r="C93" s="844"/>
      <c r="D93" s="968"/>
      <c r="E93" s="844"/>
      <c r="F93" s="844"/>
      <c r="G93" s="844"/>
      <c r="H93" s="892"/>
      <c r="I93" s="1006">
        <f>INDEX(TEMPLATE_NUMBER_POINT_FHD,B93,MATCH(TEMPLATE_SPHERE,TEMPLATE_SPHERE_LIST_FOR_NOTE,0))</f>
        <v>0</v>
      </c>
      <c r="J93" s="1006">
        <f>INDEX(TEMPLATE_DATA_POINT_FHD,B93,MATCH(TEMPLATE_SPHERE,TEMPLATE_SPHERE_LIST_FOR_NOTE,0))</f>
        <v>0</v>
      </c>
      <c r="K93" s="1006">
        <f>INDEX(TEMPLATE_NOTE_POINT_FHD,B93,MATCH(TEMPLATE_SPHERE,TEMPLATE_SPHERE_LIST_FOR_NOTE,0))</f>
        <v>0</v>
      </c>
      <c r="L93" s="845" t="str">
        <f>IF(I93=0,"",I93)</f>
        <v/>
      </c>
      <c r="M93" s="845" t="str">
        <f>IF(J93=0,"",J93)</f>
        <v/>
      </c>
      <c r="N93" s="845" t="str">
        <f>IF(K93=0,"",K93)</f>
        <v/>
      </c>
      <c r="O93" s="958"/>
      <c r="P93" s="958" t="s">
        <v>2125</v>
      </c>
      <c r="Q93" s="958"/>
      <c r="R93" s="958"/>
      <c r="S93" s="958"/>
      <c r="T93" s="844"/>
      <c r="U93" s="844" t="s">
        <v>2220</v>
      </c>
      <c r="V93" s="844"/>
      <c r="W93" s="844"/>
      <c r="X93" s="844"/>
      <c r="Y93" s="1001"/>
      <c r="Z93" s="847"/>
      <c r="AA93" s="850" t="s">
        <v>2221</v>
      </c>
      <c r="AB93" s="847"/>
      <c r="AC93" s="847"/>
      <c r="AD93" s="847"/>
    </row>
    <row customHeight="1" ht="45">
      <c r="A94" s="846"/>
      <c r="B94" s="900">
        <v>77</v>
      </c>
      <c r="C94" s="844"/>
      <c r="D94" s="968" t="s">
        <v>2216</v>
      </c>
      <c r="E94" s="844"/>
      <c r="F94" s="844"/>
      <c r="G94" s="844"/>
      <c r="H94" s="892"/>
      <c r="I94" s="1006">
        <f>INDEX(TEMPLATE_NUMBER_POINT_FHD,B94,MATCH(TEMPLATE_SPHERE,TEMPLATE_SPHERE_LIST_FOR_NOTE,0))</f>
        <v>0</v>
      </c>
      <c r="J94" s="1006">
        <f>INDEX(TEMPLATE_DATA_POINT_FHD,B94,MATCH(TEMPLATE_SPHERE,TEMPLATE_SPHERE_LIST_FOR_NOTE,0))</f>
        <v>0</v>
      </c>
      <c r="K94" s="1006">
        <f>INDEX(TEMPLATE_NOTE_POINT_FHD,B94,MATCH(TEMPLATE_SPHERE,TEMPLATE_SPHERE_LIST_FOR_NOTE,0))</f>
        <v>0</v>
      </c>
      <c r="L94" s="845" t="str">
        <f>IF(I94=0,"",I94)</f>
        <v/>
      </c>
      <c r="M94" s="845" t="str">
        <f>IF(J94=0,"",J94)</f>
        <v/>
      </c>
      <c r="N94" s="845" t="str">
        <f>IF(K94=0,"",K94)</f>
        <v/>
      </c>
      <c r="O94" s="958"/>
      <c r="P94" s="958" t="s">
        <v>1478</v>
      </c>
      <c r="Q94" s="958"/>
      <c r="R94" s="958"/>
      <c r="S94" s="958"/>
      <c r="T94" s="844"/>
      <c r="U94" s="844" t="s">
        <v>2222</v>
      </c>
      <c r="V94" s="844"/>
      <c r="W94" s="844"/>
      <c r="X94" s="844"/>
      <c r="Y94" s="1001"/>
      <c r="Z94" s="847"/>
      <c r="AA94" s="850" t="s">
        <v>2223</v>
      </c>
      <c r="AB94" s="847"/>
      <c r="AC94" s="847"/>
      <c r="AD94" s="847"/>
    </row>
    <row customHeight="1" ht="99">
      <c r="A95" s="846"/>
      <c r="B95" s="900">
        <v>78</v>
      </c>
      <c r="C95" s="844" t="s">
        <v>2224</v>
      </c>
      <c r="D95" s="968"/>
      <c r="E95" s="844"/>
      <c r="F95" s="844"/>
      <c r="G95" s="844"/>
      <c r="H95" s="892"/>
      <c r="I95" s="1006" t="str">
        <f>INDEX(TEMPLATE_NUMBER_POINT_FHD,B95,MATCH(TEMPLATE_SPHERE,TEMPLATE_SPHERE_LIST_FOR_NOTE,0))</f>
        <v>15</v>
      </c>
      <c r="J95" s="1006" t="str">
        <f>INDEX(TEMPLATE_DATA_POINT_FHD,B95,MATCH(TEMPLATE_SPHERE,TEMPLATE_SPHERE_LIST_FOR_NOTE,0))</f>
        <v>Норматив удельного расхода условного топлива при производстве тепловой энергии источниками тепловой энергии, используемыми для осуществления регулируемых видов деятельности, в целом по регулируемой организации или с распределением по источникам тепловой энергии (в зависимости от показателя (показателей), утвержденного уполномоченным органом)</v>
      </c>
      <c r="K95" s="1006">
        <f>INDEX(TEMPLATE_NOTE_POINT_FHD,B95,MATCH(TEMPLATE_SPHERE,TEMPLATE_SPHERE_LIST_FOR_NOTE,0))</f>
        <v>0</v>
      </c>
      <c r="L95" s="845" t="str">
        <f>IF(I95=0,"",I95)</f>
        <v>15</v>
      </c>
      <c r="M95" s="845" t="str">
        <f>IF(J95=0,"",J95)</f>
        <v>Норматив удельного расхода условного топлива при производстве тепловой энергии источниками тепловой энергии, используемыми для осуществления регулируемых видов деятельности, в целом по регулируемой организации или с распределением по источникам тепловой энергии (в зависимости от показателя (показателей), утвержденного уполномоченным органом)</v>
      </c>
      <c r="N95" s="845" t="str">
        <f>IF(K95=0,"",K95)</f>
        <v/>
      </c>
      <c r="O95" s="958" t="s">
        <v>1478</v>
      </c>
      <c r="P95" s="958"/>
      <c r="Q95" s="958"/>
      <c r="R95" s="958"/>
      <c r="S95" s="958"/>
      <c r="T95" s="844" t="s">
        <v>2225</v>
      </c>
      <c r="U95" s="844"/>
      <c r="V95" s="844"/>
      <c r="W95" s="844"/>
      <c r="X95" s="844"/>
      <c r="Y95" s="1001"/>
      <c r="Z95" s="847"/>
      <c r="AA95" s="850"/>
      <c r="AB95" s="847"/>
      <c r="AC95" s="847"/>
      <c r="AD95" s="847"/>
    </row>
    <row customHeight="1" ht="99">
      <c r="A96" s="846"/>
      <c r="B96" s="900">
        <v>79</v>
      </c>
      <c r="C96" s="844" t="s">
        <v>1166</v>
      </c>
      <c r="D96" s="968"/>
      <c r="E96" s="844"/>
      <c r="F96" s="844"/>
      <c r="G96" s="844"/>
      <c r="H96" s="892"/>
      <c r="I96" s="1006" t="str">
        <f>INDEX(TEMPLATE_NUMBER_POINT_FHD,B96,MATCH(TEMPLATE_SPHERE,TEMPLATE_SPHERE_LIST_FOR_NOTE,0))</f>
        <v>16</v>
      </c>
      <c r="J96" s="1006" t="str">
        <f>INDEX(TEMPLATE_DATA_POINT_FHD,B96,MATCH(TEMPLATE_SPHERE,TEMPLATE_SPHERE_LIST_FOR_NOTE,0))</f>
        <v>Фактический удельный расход условного топлива при производстве тепловой энергии источниками тепловой энергии, используемыми для осуществления регулируемых видов деятельности, в целом по регулируемой организации или с распределением по источникам тепловой энергии (в зависимости от показателя (показателей), утвержденного уполномоченным органом)</v>
      </c>
      <c r="K96" s="1006" t="str">
        <f>INDEX(TEMPLATE_NOTE_POINT_FHD,B96,MATCH(TEMPLATE_SPHERE,TEMPLATE_SPHERE_LIST_FOR_NOTE,0))</f>
        <v>Регулируемыми организациями указывается информация с распределением по источникам тепловой энергии, используемым для осуществления регулируемых видов деятельности.</v>
      </c>
      <c r="L96" s="845" t="str">
        <f>IF(I96=0,"",I96)</f>
        <v>16</v>
      </c>
      <c r="M96" s="845" t="str">
        <f>IF(J96=0,"",J96)</f>
        <v>Фактический удельный расход условного топлива при производстве тепловой энергии источниками тепловой энергии, используемыми для осуществления регулируемых видов деятельности, в целом по регулируемой организации или с распределением по источникам тепловой энергии (в зависимости от показателя (показателей), утвержденного уполномоченным органом)</v>
      </c>
      <c r="N96" s="845" t="str">
        <f>IF(K96=0,"",K96)</f>
        <v>Регулируемыми организациями указывается информация с распределением по источникам тепловой энергии, используемым для осуществления регулируемых видов деятельности.</v>
      </c>
      <c r="O96" s="958" t="s">
        <v>1484</v>
      </c>
      <c r="P96" s="958"/>
      <c r="Q96" s="958"/>
      <c r="R96" s="958"/>
      <c r="S96" s="958"/>
      <c r="T96" s="844" t="s">
        <v>2226</v>
      </c>
      <c r="U96" s="844"/>
      <c r="V96" s="844"/>
      <c r="W96" s="844"/>
      <c r="X96" s="844"/>
      <c r="Y96" s="1001"/>
      <c r="Z96" s="847" t="s">
        <v>2227</v>
      </c>
      <c r="AA96" s="850"/>
      <c r="AB96" s="847"/>
      <c r="AC96" s="847"/>
      <c r="AD96" s="847"/>
    </row>
    <row customHeight="1" ht="63">
      <c r="A97" s="846"/>
      <c r="B97" s="900">
        <v>80</v>
      </c>
      <c r="C97" s="844" t="s">
        <v>2228</v>
      </c>
      <c r="D97" s="968"/>
      <c r="E97" s="844"/>
      <c r="F97" s="844"/>
      <c r="G97" s="844"/>
      <c r="H97" s="892"/>
      <c r="I97" s="1006" t="str">
        <f>INDEX(TEMPLATE_NUMBER_POINT_FHD,B97,MATCH(TEMPLATE_SPHERE,TEMPLATE_SPHERE_LIST_FOR_NOTE,0))</f>
        <v>17</v>
      </c>
      <c r="J97" s="1006" t="str">
        <f>INDEX(TEMPLATE_DATA_POINT_FHD,B97,MATCH(TEMPLATE_SPHERE,TEMPLATE_SPHERE_LIST_FOR_NOTE,0))</f>
        <v>Удельный расход электрической энергии на производство (передачу) тепловой энергии на единицу тепловой энергии, отпускаемой потребителям по договорам, заключенным в рамках осуществления регулируемых видов деятельности</v>
      </c>
      <c r="K97" s="1006" t="str">
        <f>INDEX(TEMPLATE_NOTE_POINT_FHD,B97,MATCH(TEMPLATE_SPHERE,TEMPLATE_SPHERE_LIST_FOR_NOTE,0))</f>
        <v>Регулируемыми организациями указывается информация с по договорам, заключенным в рамках осуществления регулируемой деятельности.</v>
      </c>
      <c r="L97" s="845" t="str">
        <f>IF(I97=0,"",I97)</f>
        <v>17</v>
      </c>
      <c r="M97" s="845" t="str">
        <f>IF(J97=0,"",J97)</f>
        <v>Удельный расход электрической энергии на производство (передачу) тепловой энергии на единицу тепловой энергии, отпускаемой потребителям по договорам, заключенным в рамках осуществления регулируемых видов деятельности</v>
      </c>
      <c r="N97" s="845" t="str">
        <f>IF(K97=0,"",K97)</f>
        <v>Регулируемыми организациями указывается информация с по договорам, заключенным в рамках осуществления регулируемой деятельности.</v>
      </c>
      <c r="O97" s="958" t="s">
        <v>1496</v>
      </c>
      <c r="P97" s="958"/>
      <c r="Q97" s="958"/>
      <c r="R97" s="958"/>
      <c r="S97" s="958"/>
      <c r="T97" s="844" t="s">
        <v>2229</v>
      </c>
      <c r="U97" s="844"/>
      <c r="V97" s="844"/>
      <c r="W97" s="844"/>
      <c r="X97" s="844"/>
      <c r="Y97" s="1001"/>
      <c r="Z97" s="847" t="s">
        <v>2230</v>
      </c>
      <c r="AA97" s="850"/>
      <c r="AB97" s="847"/>
      <c r="AC97" s="847"/>
      <c r="AD97" s="847"/>
    </row>
    <row customHeight="1" ht="63">
      <c r="A98" s="846"/>
      <c r="B98" s="900">
        <v>81</v>
      </c>
      <c r="C98" s="844" t="s">
        <v>2231</v>
      </c>
      <c r="D98" s="968"/>
      <c r="E98" s="844"/>
      <c r="F98" s="844"/>
      <c r="G98" s="844"/>
      <c r="H98" s="892"/>
      <c r="I98" s="1006" t="str">
        <f>INDEX(TEMPLATE_NUMBER_POINT_FHD,B98,MATCH(TEMPLATE_SPHERE,TEMPLATE_SPHERE_LIST_FOR_NOTE,0))</f>
        <v>18</v>
      </c>
      <c r="J98" s="1006" t="str">
        <f>INDEX(TEMPLATE_DATA_POINT_FHD,B98,MATCH(TEMPLATE_SPHERE,TEMPLATE_SPHERE_LIST_FOR_NOTE,0))</f>
        <v>Удельный расход холодной воды на производство (передачу) тепловой энергии на единицу тепловой энергии, отпускаемой потребителям по договорам, заключенным в рамках осуществления регулируемых видов деятельности</v>
      </c>
      <c r="K98" s="1006" t="str">
        <f>INDEX(TEMPLATE_NOTE_POINT_FHD,B98,MATCH(TEMPLATE_SPHERE,TEMPLATE_SPHERE_LIST_FOR_NOTE,0))</f>
        <v>Регулируемыми организациями указывается информация с по договорам, заключенным в рамках осуществления регулируемой деятельности.</v>
      </c>
      <c r="L98" s="845" t="str">
        <f>IF(I98=0,"",I98)</f>
        <v>18</v>
      </c>
      <c r="M98" s="845" t="str">
        <f>IF(J98=0,"",J98)</f>
        <v>Удельный расход холодной воды на производство (передачу) тепловой энергии на единицу тепловой энергии, отпускаемой потребителям по договорам, заключенным в рамках осуществления регулируемых видов деятельности</v>
      </c>
      <c r="N98" s="845" t="str">
        <f>IF(K98=0,"",K98)</f>
        <v>Регулируемыми организациями указывается информация с по договорам, заключенным в рамках осуществления регулируемой деятельности.</v>
      </c>
      <c r="O98" s="958" t="s">
        <v>1510</v>
      </c>
      <c r="P98" s="958"/>
      <c r="Q98" s="958"/>
      <c r="R98" s="958"/>
      <c r="S98" s="958"/>
      <c r="T98" s="844" t="s">
        <v>2232</v>
      </c>
      <c r="U98" s="844"/>
      <c r="V98" s="844"/>
      <c r="W98" s="844"/>
      <c r="X98" s="844"/>
      <c r="Y98" s="1001"/>
      <c r="Z98" s="847" t="s">
        <v>2230</v>
      </c>
      <c r="AA98" s="850"/>
      <c r="AB98" s="847"/>
      <c r="AC98" s="847"/>
      <c r="AD98" s="847"/>
    </row>
    <row customHeight="1" ht="90">
      <c r="A99" s="846"/>
      <c r="B99" s="900">
        <v>82</v>
      </c>
      <c r="C99" s="844" t="s">
        <v>2233</v>
      </c>
      <c r="D99" s="968"/>
      <c r="E99" s="844"/>
      <c r="F99" s="844"/>
      <c r="G99" s="844"/>
      <c r="H99" s="892"/>
      <c r="I99" s="1006" t="str">
        <f>INDEX(TEMPLATE_NUMBER_POINT_FHD,B99,MATCH(TEMPLATE_SPHERE,TEMPLATE_SPHERE_LIST_FOR_NOTE,0))</f>
        <v>19</v>
      </c>
      <c r="J99" s="1006" t="str">
        <f>INDEX(TEMPLATE_DATA_POINT_FHD,B99,MATCH(TEMPLATE_SPHERE,TEMPLATE_SPHERE_LIST_FOR_NOTE,0))</f>
        <v>Информация о показателях технико-экономического состояния систем теплоснабжения (за исключением теплопотребляющих установок потребителей тепловой энергии, теплоносителя, а также источников тепловой энергии, функционирующих в режиме комбинированной выработки электрической и тепловой энергии), в т.ч.:</v>
      </c>
      <c r="K99" s="1006" t="str">
        <f>INDEX(TEMPLATE_NOTE_POINT_FHD,B99,MATCH(TEMPLATE_SPHERE,TEMPLATE_SPHERE_LIST_FOR_NOTE,0))</f>
        <v>Указывается ссылка на документ, предварительно загруженный в хранилище файлов ФГИС ЕИАС.</v>
      </c>
      <c r="L99" s="845" t="str">
        <f>IF(I99=0,"",I99)</f>
        <v>19</v>
      </c>
      <c r="M99" s="845" t="str">
        <f>IF(J99=0,"",J99)</f>
        <v>Информация о показателях технико-экономического состояния систем теплоснабжения (за исключением теплопотребляющих установок потребителей тепловой энергии, теплоносителя, а также источников тепловой энергии, функционирующих в режиме комбинированной выработки электрической и тепловой энергии), в т.ч.:</v>
      </c>
      <c r="N99" s="845" t="str">
        <f>IF(K99=0,"",K99)</f>
        <v>Указывается ссылка на документ, предварительно загруженный в хранилище файлов ФГИС ЕИАС.</v>
      </c>
      <c r="O99" s="958" t="s">
        <v>1522</v>
      </c>
      <c r="P99" s="958"/>
      <c r="Q99" s="958"/>
      <c r="R99" s="958"/>
      <c r="S99" s="958"/>
      <c r="T99" s="844" t="s">
        <v>2234</v>
      </c>
      <c r="U99" s="844"/>
      <c r="V99" s="844"/>
      <c r="W99" s="844"/>
      <c r="X99" s="844"/>
      <c r="Y99" s="1001"/>
      <c r="Z99" s="847" t="s">
        <v>650</v>
      </c>
      <c r="AA99" s="850"/>
      <c r="AB99" s="847"/>
      <c r="AC99" s="847"/>
      <c r="AD99" s="847"/>
    </row>
    <row customHeight="1" ht="27">
      <c r="A100" s="846"/>
      <c r="B100" s="900">
        <v>83</v>
      </c>
      <c r="C100" s="844"/>
      <c r="D100" s="968"/>
      <c r="E100" s="844"/>
      <c r="F100" s="844"/>
      <c r="G100" s="844"/>
      <c r="H100" s="892"/>
      <c r="I100" s="1006" t="str">
        <f>INDEX(TEMPLATE_NUMBER_POINT_FHD,B100,MATCH(TEMPLATE_SPHERE,TEMPLATE_SPHERE_LIST_FOR_NOTE,0))</f>
        <v>19.1</v>
      </c>
      <c r="J100" s="1006" t="str">
        <f>INDEX(TEMPLATE_DATA_POINT_FHD,B100,MATCH(TEMPLATE_SPHERE,TEMPLATE_SPHERE_LIST_FOR_NOTE,0))</f>
        <v>Информация о показателях физического износа объектов теплоснабжения</v>
      </c>
      <c r="K100" s="1006" t="str">
        <f>INDEX(TEMPLATE_NOTE_POINT_FHD,B100,MATCH(TEMPLATE_SPHERE,TEMPLATE_SPHERE_LIST_FOR_NOTE,0))</f>
        <v>Указывается ссылка на документ, предварительно загруженный в хранилище файлов ФГИС ЕИАС.</v>
      </c>
      <c r="L100" s="845" t="str">
        <f>IF(I100=0,"",I100)</f>
        <v>19.1</v>
      </c>
      <c r="M100" s="845" t="str">
        <f>IF(J100=0,"",J100)</f>
        <v>Информация о показателях физического износа объектов теплоснабжения</v>
      </c>
      <c r="N100" s="845" t="str">
        <f>IF(K100=0,"",K100)</f>
        <v>Указывается ссылка на документ, предварительно загруженный в хранилище файлов ФГИС ЕИАС.</v>
      </c>
      <c r="O100" s="958" t="s">
        <v>2235</v>
      </c>
      <c r="P100" s="958"/>
      <c r="Q100" s="958"/>
      <c r="R100" s="958"/>
      <c r="S100" s="958"/>
      <c r="T100" s="844" t="s">
        <v>2236</v>
      </c>
      <c r="U100" s="844"/>
      <c r="V100" s="844"/>
      <c r="W100" s="844"/>
      <c r="X100" s="844"/>
      <c r="Y100" s="1001"/>
      <c r="Z100" s="847" t="s">
        <v>650</v>
      </c>
      <c r="AA100" s="850"/>
      <c r="AB100" s="847"/>
      <c r="AC100" s="847"/>
      <c r="AD100" s="847"/>
    </row>
    <row customHeight="1" ht="27">
      <c r="A101" s="846"/>
      <c r="B101" s="900">
        <v>84</v>
      </c>
      <c r="C101" s="844"/>
      <c r="D101" s="968"/>
      <c r="E101" s="844"/>
      <c r="F101" s="844"/>
      <c r="G101" s="844"/>
      <c r="H101" s="892"/>
      <c r="I101" s="1006" t="str">
        <f>INDEX(TEMPLATE_NUMBER_POINT_FHD,B101,MATCH(TEMPLATE_SPHERE,TEMPLATE_SPHERE_LIST_FOR_NOTE,0))</f>
        <v>19.2</v>
      </c>
      <c r="J101" s="1006" t="str">
        <f>INDEX(TEMPLATE_DATA_POINT_FHD,B101,MATCH(TEMPLATE_SPHERE,TEMPLATE_SPHERE_LIST_FOR_NOTE,0))</f>
        <v>Информация о показателях энергетической эффективности объектов теплоснабжения</v>
      </c>
      <c r="K101" s="1006" t="str">
        <f>INDEX(TEMPLATE_NOTE_POINT_FHD,B101,MATCH(TEMPLATE_SPHERE,TEMPLATE_SPHERE_LIST_FOR_NOTE,0))</f>
        <v>Указывается ссылка на документ, предварительно загруженный в хранилище файлов ФГИС ЕИАС.</v>
      </c>
      <c r="L101" s="845" t="str">
        <f>IF(I101=0,"",I101)</f>
        <v>19.2</v>
      </c>
      <c r="M101" s="845" t="str">
        <f>IF(J101=0,"",J101)</f>
        <v>Информация о показателях энергетической эффективности объектов теплоснабжения</v>
      </c>
      <c r="N101" s="845" t="str">
        <f>IF(K101=0,"",K101)</f>
        <v>Указывается ссылка на документ, предварительно загруженный в хранилище файлов ФГИС ЕИАС.</v>
      </c>
      <c r="O101" s="958" t="s">
        <v>2237</v>
      </c>
      <c r="P101" s="958"/>
      <c r="Q101" s="958"/>
      <c r="R101" s="958"/>
      <c r="S101" s="958"/>
      <c r="T101" s="844" t="s">
        <v>2238</v>
      </c>
      <c r="U101" s="844"/>
      <c r="V101" s="844"/>
      <c r="W101" s="844"/>
      <c r="X101" s="844"/>
      <c r="Y101" s="1001"/>
      <c r="Z101" s="847" t="s">
        <v>650</v>
      </c>
      <c r="AA101" s="850"/>
      <c r="AB101" s="847"/>
      <c r="AC101" s="847"/>
      <c r="AD101" s="847"/>
    </row>
    <row customHeight="1" ht="9">
      <c r="A102" s="846"/>
      <c r="B102" s="846"/>
      <c r="C102" s="844"/>
      <c r="D102" s="844"/>
      <c r="E102" s="844"/>
      <c r="F102" s="844"/>
      <c r="G102" s="844"/>
      <c r="H102" s="892"/>
      <c r="I102" s="892"/>
      <c r="J102" s="892"/>
      <c r="K102" s="892"/>
      <c r="L102" s="892"/>
      <c r="M102" s="844"/>
      <c r="N102" s="891"/>
      <c r="O102" s="958"/>
      <c r="P102" s="958"/>
      <c r="Q102" s="958"/>
      <c r="R102" s="958"/>
      <c r="S102" s="844"/>
      <c r="T102" s="844"/>
      <c r="U102" s="844"/>
      <c r="V102" s="844"/>
      <c r="W102" s="844"/>
      <c r="X102" s="844"/>
      <c r="Y102" s="1001"/>
      <c r="Z102" s="847"/>
      <c r="AA102" s="850"/>
      <c r="AB102" s="847"/>
      <c r="AC102" s="847"/>
      <c r="AD102" s="847"/>
    </row>
    <row customHeight="1" ht="9">
      <c r="A103" s="846"/>
      <c r="B103" s="846"/>
      <c r="C103" s="844"/>
      <c r="D103" s="844"/>
      <c r="E103" s="844"/>
      <c r="F103" s="844"/>
      <c r="G103" s="844"/>
      <c r="H103" s="892"/>
      <c r="I103" s="892"/>
      <c r="J103" s="892"/>
      <c r="K103" s="892"/>
      <c r="L103" s="892"/>
      <c r="M103" s="844"/>
      <c r="N103" s="891"/>
      <c r="O103" s="958"/>
      <c r="P103" s="958"/>
      <c r="Q103" s="958"/>
      <c r="R103" s="958"/>
      <c r="S103" s="844"/>
      <c r="T103" s="844"/>
      <c r="U103" s="844"/>
      <c r="V103" s="844"/>
      <c r="W103" s="844"/>
      <c r="X103" s="844"/>
      <c r="Y103" s="1001"/>
      <c r="Z103" s="847"/>
      <c r="AA103" s="850"/>
      <c r="AB103" s="847"/>
      <c r="AC103" s="847"/>
      <c r="AD103" s="847"/>
    </row>
    <row customHeight="1" ht="9">
      <c r="A104" s="846"/>
      <c r="B104" s="846"/>
      <c r="C104" s="844"/>
      <c r="D104" s="844"/>
      <c r="E104" s="844"/>
      <c r="F104" s="844"/>
      <c r="G104" s="844"/>
      <c r="H104" s="892"/>
      <c r="I104" s="892"/>
      <c r="J104" s="892"/>
      <c r="K104" s="892"/>
      <c r="L104" s="892"/>
      <c r="M104" s="844"/>
      <c r="N104" s="891"/>
      <c r="O104" s="958"/>
      <c r="P104" s="958"/>
      <c r="Q104" s="958"/>
      <c r="R104" s="958"/>
      <c r="S104" s="844"/>
      <c r="T104" s="844"/>
      <c r="U104" s="844"/>
      <c r="V104" s="844"/>
      <c r="W104" s="844"/>
      <c r="X104" s="844"/>
      <c r="Y104" s="1001"/>
      <c r="Z104" s="847"/>
      <c r="AA104" s="850"/>
      <c r="AB104" s="847"/>
      <c r="AC104" s="847"/>
      <c r="AD104" s="847"/>
    </row>
    <row customHeight="1" ht="9">
      <c r="A105" s="846"/>
      <c r="B105" s="846"/>
      <c r="C105" s="844"/>
      <c r="D105" s="844"/>
      <c r="E105" s="844"/>
      <c r="F105" s="844"/>
      <c r="G105" s="844"/>
      <c r="H105" s="892"/>
      <c r="I105" s="892"/>
      <c r="J105" s="892"/>
      <c r="K105" s="892"/>
      <c r="L105" s="892"/>
      <c r="M105" s="844"/>
      <c r="N105" s="891"/>
      <c r="O105" s="958"/>
      <c r="P105" s="958"/>
      <c r="Q105" s="958"/>
      <c r="R105" s="958"/>
      <c r="S105" s="844"/>
      <c r="T105" s="844"/>
      <c r="U105" s="844"/>
      <c r="V105" s="844"/>
      <c r="W105" s="844"/>
      <c r="X105" s="844"/>
      <c r="Y105" s="1001"/>
      <c r="Z105" s="847"/>
      <c r="AA105" s="850"/>
      <c r="AB105" s="847"/>
      <c r="AC105" s="847"/>
      <c r="AD105" s="847"/>
    </row>
    <row customHeight="1" ht="9">
      <c r="A106" s="846"/>
      <c r="B106" s="846"/>
      <c r="C106" s="844"/>
      <c r="D106" s="844"/>
      <c r="E106" s="844"/>
      <c r="F106" s="844"/>
      <c r="G106" s="844"/>
      <c r="H106" s="892"/>
      <c r="I106" s="892"/>
      <c r="J106" s="892"/>
      <c r="K106" s="892"/>
      <c r="L106" s="892"/>
      <c r="M106" s="844"/>
      <c r="N106" s="891"/>
      <c r="O106" s="958"/>
      <c r="P106" s="958"/>
      <c r="Q106" s="958"/>
      <c r="R106" s="958"/>
      <c r="S106" s="844"/>
      <c r="T106" s="844"/>
      <c r="U106" s="844"/>
      <c r="V106" s="844"/>
      <c r="W106" s="844"/>
      <c r="X106" s="844"/>
      <c r="Y106" s="1001"/>
      <c r="Z106" s="847"/>
      <c r="AA106" s="850"/>
      <c r="AB106" s="847"/>
      <c r="AC106" s="847"/>
      <c r="AD106" s="847"/>
    </row>
    <row customHeight="1" ht="9">
      <c r="A107" s="846"/>
      <c r="B107" s="846"/>
      <c r="C107" s="844"/>
      <c r="D107" s="844"/>
      <c r="E107" s="844"/>
      <c r="F107" s="844"/>
      <c r="G107" s="844"/>
      <c r="H107" s="892"/>
      <c r="I107" s="892"/>
      <c r="J107" s="892"/>
      <c r="K107" s="892"/>
      <c r="L107" s="892"/>
      <c r="M107" s="844"/>
      <c r="N107" s="891"/>
      <c r="O107" s="958"/>
      <c r="P107" s="958"/>
      <c r="Q107" s="958"/>
      <c r="R107" s="958"/>
      <c r="S107" s="844"/>
      <c r="T107" s="844"/>
      <c r="U107" s="844"/>
      <c r="V107" s="844"/>
      <c r="W107" s="844"/>
      <c r="X107" s="844"/>
      <c r="Y107" s="1001"/>
      <c r="Z107" s="847"/>
      <c r="AA107" s="850"/>
      <c r="AB107" s="847"/>
      <c r="AC107" s="847"/>
      <c r="AD107" s="847"/>
    </row>
    <row customHeight="1" ht="9">
      <c r="A108" s="846"/>
      <c r="B108" s="846"/>
      <c r="C108" s="844"/>
      <c r="D108" s="844"/>
      <c r="E108" s="844"/>
      <c r="F108" s="844"/>
      <c r="G108" s="844"/>
      <c r="H108" s="892"/>
      <c r="I108" s="892"/>
      <c r="J108" s="892"/>
      <c r="K108" s="892"/>
      <c r="L108" s="892"/>
      <c r="M108" s="844"/>
      <c r="N108" s="891"/>
      <c r="O108" s="958"/>
      <c r="P108" s="958"/>
      <c r="Q108" s="958"/>
      <c r="R108" s="958"/>
      <c r="S108" s="844"/>
      <c r="T108" s="844"/>
      <c r="U108" s="844"/>
      <c r="V108" s="844"/>
      <c r="W108" s="844"/>
      <c r="X108" s="844"/>
      <c r="Y108" s="1001"/>
      <c r="Z108" s="847"/>
      <c r="AA108" s="850"/>
      <c r="AB108" s="847"/>
      <c r="AC108" s="847"/>
      <c r="AD108" s="847"/>
    </row>
    <row customHeight="1" ht="9">
      <c r="A109" s="846"/>
      <c r="B109" s="846"/>
      <c r="C109" s="844"/>
      <c r="D109" s="844"/>
      <c r="E109" s="844"/>
      <c r="F109" s="844"/>
      <c r="G109" s="844"/>
      <c r="H109" s="892"/>
      <c r="I109" s="892"/>
      <c r="J109" s="892"/>
      <c r="K109" s="892"/>
      <c r="L109" s="892"/>
      <c r="M109" s="844"/>
      <c r="N109" s="891"/>
      <c r="O109" s="958"/>
      <c r="P109" s="958"/>
      <c r="Q109" s="958"/>
      <c r="R109" s="958"/>
      <c r="S109" s="844"/>
      <c r="T109" s="844"/>
      <c r="U109" s="844"/>
      <c r="V109" s="844"/>
      <c r="W109" s="844"/>
      <c r="X109" s="844"/>
      <c r="Y109" s="1001"/>
      <c r="Z109" s="847"/>
      <c r="AA109" s="850"/>
      <c r="AB109" s="847"/>
      <c r="AC109" s="847"/>
      <c r="AD109" s="847"/>
    </row>
    <row customHeight="1" ht="9">
      <c r="A110" s="846"/>
      <c r="B110" s="846"/>
      <c r="C110" s="844"/>
      <c r="D110" s="844"/>
      <c r="E110" s="844"/>
      <c r="F110" s="844"/>
      <c r="G110" s="844"/>
      <c r="H110" s="892"/>
      <c r="I110" s="892"/>
      <c r="J110" s="892"/>
      <c r="K110" s="892"/>
      <c r="L110" s="892"/>
      <c r="M110" s="844"/>
      <c r="N110" s="891"/>
      <c r="O110" s="958"/>
      <c r="P110" s="958"/>
      <c r="Q110" s="958"/>
      <c r="R110" s="958"/>
      <c r="S110" s="844"/>
      <c r="T110" s="844"/>
      <c r="U110" s="844"/>
      <c r="V110" s="844"/>
      <c r="W110" s="844"/>
      <c r="X110" s="844"/>
      <c r="Y110" s="1001"/>
      <c r="Z110" s="847"/>
      <c r="AA110" s="850"/>
      <c r="AB110" s="847"/>
      <c r="AC110" s="847"/>
      <c r="AD110" s="847"/>
    </row>
    <row customHeight="1" ht="9">
      <c r="A111" s="846"/>
      <c r="B111" s="846"/>
      <c r="C111" s="844"/>
      <c r="D111" s="844"/>
      <c r="E111" s="844"/>
      <c r="F111" s="844"/>
      <c r="G111" s="844"/>
      <c r="H111" s="892"/>
      <c r="I111" s="892"/>
      <c r="J111" s="892"/>
      <c r="K111" s="892"/>
      <c r="L111" s="892"/>
      <c r="M111" s="844"/>
      <c r="N111" s="891"/>
      <c r="O111" s="958"/>
      <c r="P111" s="958"/>
      <c r="Q111" s="958"/>
      <c r="R111" s="958"/>
      <c r="S111" s="844"/>
      <c r="T111" s="844"/>
      <c r="U111" s="844"/>
      <c r="V111" s="844"/>
      <c r="W111" s="844"/>
      <c r="X111" s="844"/>
      <c r="Y111" s="1001"/>
      <c r="Z111" s="847"/>
      <c r="AA111" s="850"/>
      <c r="AB111" s="847"/>
      <c r="AC111" s="847"/>
      <c r="AD111" s="847"/>
    </row>
    <row customHeight="1" ht="9">
      <c r="A112" s="846"/>
      <c r="B112" s="846"/>
      <c r="C112" s="844"/>
      <c r="D112" s="844"/>
      <c r="E112" s="844"/>
      <c r="F112" s="844"/>
      <c r="G112" s="844"/>
      <c r="H112" s="892"/>
      <c r="I112" s="892"/>
      <c r="J112" s="892"/>
      <c r="K112" s="892"/>
      <c r="L112" s="892"/>
      <c r="M112" s="844"/>
      <c r="N112" s="891"/>
      <c r="O112" s="958"/>
      <c r="P112" s="958"/>
      <c r="Q112" s="958"/>
      <c r="R112" s="958"/>
      <c r="S112" s="844"/>
      <c r="T112" s="844"/>
      <c r="U112" s="844"/>
      <c r="V112" s="844"/>
      <c r="W112" s="844"/>
      <c r="X112" s="844"/>
      <c r="Y112" s="1001"/>
      <c r="Z112" s="847"/>
      <c r="AA112" s="850"/>
      <c r="AB112" s="847"/>
      <c r="AC112" s="847"/>
      <c r="AD112" s="847"/>
    </row>
    <row customHeight="1" ht="9">
      <c r="A113" s="846"/>
      <c r="B113" s="846"/>
      <c r="C113" s="844"/>
      <c r="D113" s="844"/>
      <c r="E113" s="844"/>
      <c r="F113" s="844"/>
      <c r="G113" s="844"/>
      <c r="H113" s="892"/>
      <c r="I113" s="892"/>
      <c r="J113" s="892"/>
      <c r="K113" s="892"/>
      <c r="L113" s="892"/>
      <c r="M113" s="844"/>
      <c r="N113" s="891"/>
      <c r="O113" s="958"/>
      <c r="P113" s="958"/>
      <c r="Q113" s="958"/>
      <c r="R113" s="958"/>
      <c r="S113" s="844"/>
      <c r="T113" s="844"/>
      <c r="U113" s="844"/>
      <c r="V113" s="844"/>
      <c r="W113" s="844"/>
      <c r="X113" s="844"/>
      <c r="Y113" s="1001"/>
      <c r="Z113" s="847"/>
      <c r="AA113" s="850"/>
      <c r="AB113" s="847"/>
      <c r="AC113" s="847"/>
      <c r="AD113" s="847"/>
    </row>
    <row customHeight="1" ht="9">
      <c r="A114" s="846"/>
      <c r="B114" s="846"/>
      <c r="C114" s="844"/>
      <c r="D114" s="844"/>
      <c r="E114" s="844"/>
      <c r="F114" s="844"/>
      <c r="G114" s="844"/>
      <c r="H114" s="892"/>
      <c r="I114" s="892"/>
      <c r="J114" s="892"/>
      <c r="K114" s="892"/>
      <c r="L114" s="892"/>
      <c r="M114" s="844"/>
      <c r="N114" s="891"/>
      <c r="O114" s="958"/>
      <c r="P114" s="958"/>
      <c r="Q114" s="958"/>
      <c r="R114" s="958"/>
      <c r="S114" s="844"/>
      <c r="T114" s="844"/>
      <c r="U114" s="844"/>
      <c r="V114" s="844"/>
      <c r="W114" s="844"/>
      <c r="X114" s="844"/>
      <c r="Y114" s="1001"/>
      <c r="Z114" s="847"/>
      <c r="AA114" s="850"/>
      <c r="AB114" s="847"/>
      <c r="AC114" s="847"/>
      <c r="AD114" s="847"/>
    </row>
    <row customHeight="1" ht="9">
      <c r="A115" s="846"/>
      <c r="B115" s="846"/>
      <c r="C115" s="844"/>
      <c r="D115" s="844"/>
      <c r="E115" s="844"/>
      <c r="F115" s="844"/>
      <c r="G115" s="844"/>
      <c r="H115" s="892"/>
      <c r="I115" s="892"/>
      <c r="J115" s="892"/>
      <c r="K115" s="892"/>
      <c r="L115" s="892"/>
      <c r="M115" s="844"/>
      <c r="N115" s="891"/>
      <c r="O115" s="958"/>
      <c r="P115" s="958"/>
      <c r="Q115" s="958"/>
      <c r="R115" s="958"/>
      <c r="S115" s="844"/>
      <c r="T115" s="844"/>
      <c r="U115" s="844"/>
      <c r="V115" s="844"/>
      <c r="W115" s="844"/>
      <c r="X115" s="844"/>
      <c r="Y115" s="1001"/>
      <c r="Z115" s="847"/>
      <c r="AA115" s="850"/>
      <c r="AB115" s="847"/>
      <c r="AC115" s="847"/>
      <c r="AD115" s="847"/>
    </row>
    <row customHeight="1" ht="9">
      <c r="A116" s="846"/>
      <c r="B116" s="846"/>
      <c r="C116" s="844"/>
      <c r="D116" s="844"/>
      <c r="E116" s="844"/>
      <c r="F116" s="844"/>
      <c r="G116" s="844"/>
      <c r="H116" s="892"/>
      <c r="I116" s="892"/>
      <c r="J116" s="892"/>
      <c r="K116" s="892"/>
      <c r="L116" s="892"/>
      <c r="M116" s="844"/>
      <c r="N116" s="891"/>
      <c r="O116" s="958"/>
      <c r="P116" s="958"/>
      <c r="Q116" s="958"/>
      <c r="R116" s="958"/>
      <c r="S116" s="844"/>
      <c r="T116" s="844"/>
      <c r="U116" s="844"/>
      <c r="V116" s="844"/>
      <c r="W116" s="844"/>
      <c r="X116" s="844"/>
      <c r="Y116" s="1001"/>
      <c r="Z116" s="847"/>
      <c r="AA116" s="850"/>
      <c r="AB116" s="847"/>
      <c r="AC116" s="847"/>
      <c r="AD116" s="847"/>
    </row>
    <row customHeight="1" ht="9">
      <c r="A117" s="846"/>
      <c r="B117" s="846"/>
      <c r="C117" s="844"/>
      <c r="D117" s="844"/>
      <c r="E117" s="844"/>
      <c r="F117" s="844"/>
      <c r="G117" s="844"/>
      <c r="H117" s="892"/>
      <c r="I117" s="892"/>
      <c r="J117" s="892"/>
      <c r="K117" s="892"/>
      <c r="L117" s="892"/>
      <c r="M117" s="844"/>
      <c r="N117" s="891"/>
      <c r="O117" s="958"/>
      <c r="P117" s="958"/>
      <c r="Q117" s="958"/>
      <c r="R117" s="958"/>
      <c r="S117" s="844"/>
      <c r="T117" s="844"/>
      <c r="U117" s="844"/>
      <c r="V117" s="844"/>
      <c r="W117" s="844"/>
      <c r="X117" s="844"/>
      <c r="Y117" s="1001"/>
      <c r="Z117" s="847"/>
      <c r="AA117" s="850"/>
      <c r="AB117" s="847"/>
      <c r="AC117" s="847"/>
      <c r="AD117" s="847"/>
    </row>
    <row customHeight="1" ht="9">
      <c r="A118" s="846"/>
      <c r="B118" s="846"/>
      <c r="C118" s="844"/>
      <c r="D118" s="844"/>
      <c r="E118" s="844"/>
      <c r="F118" s="844"/>
      <c r="G118" s="844"/>
      <c r="H118" s="892"/>
      <c r="I118" s="892"/>
      <c r="J118" s="892"/>
      <c r="K118" s="892"/>
      <c r="L118" s="892"/>
      <c r="M118" s="844"/>
      <c r="N118" s="891"/>
      <c r="O118" s="958"/>
      <c r="P118" s="958"/>
      <c r="Q118" s="958"/>
      <c r="R118" s="958"/>
      <c r="S118" s="844"/>
      <c r="T118" s="844"/>
      <c r="U118" s="844"/>
      <c r="V118" s="844"/>
      <c r="W118" s="844"/>
      <c r="X118" s="844"/>
      <c r="Y118" s="1001"/>
      <c r="Z118" s="847"/>
      <c r="AA118" s="850"/>
      <c r="AB118" s="847"/>
      <c r="AC118" s="847"/>
      <c r="AD118" s="847"/>
    </row>
    <row customHeight="1" ht="9">
      <c r="A119" s="846"/>
      <c r="B119" s="846"/>
      <c r="C119" s="844"/>
      <c r="D119" s="844"/>
      <c r="E119" s="844"/>
      <c r="F119" s="844"/>
      <c r="G119" s="844"/>
      <c r="H119" s="892"/>
      <c r="I119" s="892"/>
      <c r="J119" s="892"/>
      <c r="K119" s="892"/>
      <c r="L119" s="892"/>
      <c r="M119" s="844"/>
      <c r="N119" s="891"/>
      <c r="O119" s="958"/>
      <c r="P119" s="958"/>
      <c r="Q119" s="958"/>
      <c r="R119" s="958"/>
      <c r="S119" s="844"/>
      <c r="T119" s="844"/>
      <c r="U119" s="844"/>
      <c r="V119" s="844"/>
      <c r="W119" s="844"/>
      <c r="X119" s="844"/>
      <c r="Y119" s="1001"/>
      <c r="Z119" s="847"/>
      <c r="AA119" s="850"/>
      <c r="AB119" s="847"/>
      <c r="AC119" s="847"/>
      <c r="AD119" s="847"/>
    </row>
    <row customHeight="1" ht="9">
      <c r="A120" s="846"/>
      <c r="B120" s="846"/>
      <c r="C120" s="844"/>
      <c r="D120" s="844"/>
      <c r="E120" s="844"/>
      <c r="F120" s="844"/>
      <c r="G120" s="844"/>
      <c r="H120" s="892"/>
      <c r="I120" s="892"/>
      <c r="J120" s="892"/>
      <c r="K120" s="892"/>
      <c r="L120" s="892"/>
      <c r="M120" s="844"/>
      <c r="N120" s="891"/>
      <c r="O120" s="958"/>
      <c r="P120" s="958"/>
      <c r="Q120" s="958"/>
      <c r="R120" s="958"/>
      <c r="S120" s="844"/>
      <c r="T120" s="844"/>
      <c r="U120" s="844"/>
      <c r="V120" s="844"/>
      <c r="W120" s="844"/>
      <c r="X120" s="844"/>
      <c r="Y120" s="1001"/>
      <c r="Z120" s="847"/>
      <c r="AA120" s="850"/>
      <c r="AB120" s="847"/>
      <c r="AC120" s="847"/>
      <c r="AD120" s="847"/>
    </row>
    <row customHeight="1" ht="9">
      <c r="A121" s="846"/>
      <c r="B121" s="846"/>
      <c r="C121" s="844"/>
      <c r="D121" s="844"/>
      <c r="E121" s="844"/>
      <c r="F121" s="844"/>
      <c r="G121" s="844"/>
      <c r="H121" s="892"/>
      <c r="I121" s="892"/>
      <c r="J121" s="892"/>
      <c r="K121" s="892"/>
      <c r="L121" s="892"/>
      <c r="M121" s="844"/>
      <c r="N121" s="891"/>
      <c r="O121" s="958"/>
      <c r="P121" s="958"/>
      <c r="Q121" s="958"/>
      <c r="R121" s="958"/>
      <c r="S121" s="844"/>
      <c r="T121" s="844"/>
      <c r="U121" s="844"/>
      <c r="V121" s="844"/>
      <c r="W121" s="844"/>
      <c r="X121" s="844"/>
      <c r="Y121" s="1001"/>
      <c r="Z121" s="847"/>
      <c r="AA121" s="850"/>
      <c r="AB121" s="847"/>
      <c r="AC121" s="847"/>
      <c r="AD121" s="847"/>
    </row>
    <row customHeight="1" ht="9">
      <c r="A122" s="846"/>
      <c r="B122" s="846"/>
      <c r="C122" s="844"/>
      <c r="D122" s="844"/>
      <c r="E122" s="844"/>
      <c r="F122" s="844"/>
      <c r="G122" s="844"/>
      <c r="H122" s="892"/>
      <c r="I122" s="892"/>
      <c r="J122" s="892"/>
      <c r="K122" s="892"/>
      <c r="L122" s="892"/>
      <c r="M122" s="844"/>
      <c r="N122" s="891"/>
      <c r="O122" s="958"/>
      <c r="P122" s="958"/>
      <c r="Q122" s="958"/>
      <c r="R122" s="958"/>
      <c r="S122" s="844"/>
      <c r="T122" s="844"/>
      <c r="U122" s="844"/>
      <c r="V122" s="844"/>
      <c r="W122" s="844"/>
      <c r="X122" s="844"/>
      <c r="Y122" s="1001"/>
      <c r="Z122" s="847"/>
      <c r="AA122" s="850"/>
      <c r="AB122" s="847"/>
      <c r="AC122" s="847"/>
      <c r="AD122" s="847"/>
    </row>
    <row customHeight="1" ht="9">
      <c r="A123" s="846"/>
      <c r="B123" s="846"/>
      <c r="C123" s="844"/>
      <c r="D123" s="844"/>
      <c r="E123" s="844"/>
      <c r="F123" s="844"/>
      <c r="G123" s="844"/>
      <c r="H123" s="892"/>
      <c r="I123" s="892"/>
      <c r="J123" s="892"/>
      <c r="K123" s="892"/>
      <c r="L123" s="892"/>
      <c r="M123" s="844"/>
      <c r="N123" s="891"/>
      <c r="O123" s="958"/>
      <c r="P123" s="958"/>
      <c r="Q123" s="958"/>
      <c r="R123" s="958"/>
      <c r="S123" s="844"/>
      <c r="T123" s="844"/>
      <c r="U123" s="844"/>
      <c r="V123" s="844"/>
      <c r="W123" s="844"/>
      <c r="X123" s="844"/>
      <c r="Y123" s="1001"/>
      <c r="Z123" s="847"/>
      <c r="AA123" s="850"/>
      <c r="AB123" s="847"/>
      <c r="AC123" s="847"/>
      <c r="AD123" s="847"/>
    </row>
    <row customHeight="1" ht="9">
      <c r="A124" s="846"/>
      <c r="B124" s="846"/>
      <c r="C124" s="844"/>
      <c r="D124" s="844"/>
      <c r="E124" s="844"/>
      <c r="F124" s="844"/>
      <c r="G124" s="844"/>
      <c r="H124" s="892"/>
      <c r="I124" s="892"/>
      <c r="J124" s="892"/>
      <c r="K124" s="892"/>
      <c r="L124" s="892"/>
      <c r="M124" s="844"/>
      <c r="N124" s="891"/>
      <c r="O124" s="958"/>
      <c r="P124" s="958"/>
      <c r="Q124" s="958"/>
      <c r="R124" s="958"/>
      <c r="S124" s="844"/>
      <c r="T124" s="844"/>
      <c r="U124" s="844"/>
      <c r="V124" s="844"/>
      <c r="W124" s="844"/>
      <c r="X124" s="844"/>
      <c r="Y124" s="1001"/>
      <c r="Z124" s="847"/>
      <c r="AA124" s="850"/>
      <c r="AB124" s="847"/>
      <c r="AC124" s="847"/>
      <c r="AD124" s="847"/>
    </row>
    <row customHeight="1" ht="9">
      <c r="A125" s="846"/>
      <c r="B125" s="846"/>
      <c r="C125" s="844"/>
      <c r="D125" s="844"/>
      <c r="E125" s="844"/>
      <c r="F125" s="844"/>
      <c r="G125" s="844"/>
      <c r="H125" s="892"/>
      <c r="I125" s="892"/>
      <c r="J125" s="892"/>
      <c r="K125" s="892"/>
      <c r="L125" s="892"/>
      <c r="M125" s="844"/>
      <c r="N125" s="891"/>
      <c r="O125" s="958"/>
      <c r="P125" s="958"/>
      <c r="Q125" s="958"/>
      <c r="R125" s="958"/>
      <c r="S125" s="844"/>
      <c r="T125" s="844"/>
      <c r="U125" s="844"/>
      <c r="V125" s="844"/>
      <c r="W125" s="844"/>
      <c r="X125" s="844"/>
      <c r="Y125" s="1001"/>
      <c r="Z125" s="847"/>
      <c r="AA125" s="850"/>
      <c r="AB125" s="847"/>
      <c r="AC125" s="847"/>
      <c r="AD125" s="847"/>
    </row>
    <row customHeight="1" ht="9">
      <c r="A126" s="846"/>
      <c r="B126" s="846"/>
      <c r="C126" s="844"/>
      <c r="D126" s="844"/>
      <c r="E126" s="844"/>
      <c r="F126" s="844"/>
      <c r="G126" s="844"/>
      <c r="H126" s="892"/>
      <c r="I126" s="892"/>
      <c r="J126" s="892"/>
      <c r="K126" s="892"/>
      <c r="L126" s="892"/>
      <c r="M126" s="844"/>
      <c r="N126" s="891"/>
      <c r="O126" s="958"/>
      <c r="P126" s="958"/>
      <c r="Q126" s="958"/>
      <c r="R126" s="958"/>
      <c r="S126" s="844"/>
      <c r="T126" s="844"/>
      <c r="U126" s="844"/>
      <c r="V126" s="844"/>
      <c r="W126" s="844"/>
      <c r="X126" s="844"/>
      <c r="Y126" s="1001"/>
      <c r="Z126" s="847"/>
      <c r="AA126" s="850"/>
      <c r="AB126" s="847"/>
      <c r="AC126" s="847"/>
      <c r="AD126" s="847"/>
    </row>
    <row customHeight="1" ht="9">
      <c r="A127" s="846"/>
      <c r="B127" s="846"/>
      <c r="C127" s="844"/>
      <c r="D127" s="844"/>
      <c r="E127" s="844"/>
      <c r="F127" s="844"/>
      <c r="G127" s="844"/>
      <c r="H127" s="892"/>
      <c r="I127" s="892"/>
      <c r="J127" s="892"/>
      <c r="K127" s="892"/>
      <c r="L127" s="892"/>
      <c r="M127" s="844"/>
      <c r="N127" s="891"/>
      <c r="O127" s="958"/>
      <c r="P127" s="958"/>
      <c r="Q127" s="958"/>
      <c r="R127" s="958"/>
      <c r="S127" s="844"/>
      <c r="T127" s="844"/>
      <c r="U127" s="844"/>
      <c r="V127" s="844"/>
      <c r="W127" s="844"/>
      <c r="X127" s="844"/>
      <c r="Y127" s="1001"/>
      <c r="Z127" s="847"/>
      <c r="AA127" s="850"/>
      <c r="AB127" s="847"/>
      <c r="AC127" s="847"/>
      <c r="AD127" s="847"/>
    </row>
    <row customHeight="1" ht="9">
      <c r="A128" s="846"/>
      <c r="B128" s="846"/>
      <c r="C128" s="844"/>
      <c r="D128" s="844"/>
      <c r="E128" s="844"/>
      <c r="F128" s="844"/>
      <c r="G128" s="844"/>
      <c r="H128" s="892"/>
      <c r="I128" s="892"/>
      <c r="J128" s="892"/>
      <c r="K128" s="892"/>
      <c r="L128" s="892"/>
      <c r="M128" s="844"/>
      <c r="N128" s="891"/>
      <c r="O128" s="958"/>
      <c r="P128" s="958"/>
      <c r="Q128" s="958"/>
      <c r="R128" s="958"/>
      <c r="S128" s="844"/>
      <c r="T128" s="844"/>
      <c r="U128" s="844"/>
      <c r="V128" s="844"/>
      <c r="W128" s="844"/>
      <c r="X128" s="844"/>
      <c r="Y128" s="1001"/>
      <c r="Z128" s="847"/>
      <c r="AA128" s="850"/>
      <c r="AB128" s="847"/>
      <c r="AC128" s="847"/>
      <c r="AD128" s="847"/>
    </row>
    <row customHeight="1" ht="9">
      <c r="A129" s="846"/>
      <c r="B129" s="846"/>
      <c r="C129" s="844"/>
      <c r="D129" s="844"/>
      <c r="E129" s="844"/>
      <c r="F129" s="844"/>
      <c r="G129" s="844"/>
      <c r="H129" s="892"/>
      <c r="I129" s="892"/>
      <c r="J129" s="892"/>
      <c r="K129" s="892"/>
      <c r="L129" s="892"/>
      <c r="M129" s="844"/>
      <c r="N129" s="891"/>
      <c r="O129" s="958"/>
      <c r="P129" s="958"/>
      <c r="Q129" s="958"/>
      <c r="R129" s="958"/>
      <c r="S129" s="844"/>
      <c r="T129" s="844"/>
      <c r="U129" s="844"/>
      <c r="V129" s="844"/>
      <c r="W129" s="844"/>
      <c r="X129" s="844"/>
      <c r="Y129" s="1001"/>
      <c r="Z129" s="847"/>
      <c r="AA129" s="850"/>
      <c r="AB129" s="847"/>
      <c r="AC129" s="847"/>
      <c r="AD129" s="847"/>
    </row>
    <row customHeight="1" ht="9">
      <c r="A130" s="846"/>
      <c r="B130" s="846"/>
      <c r="C130" s="844"/>
      <c r="D130" s="844"/>
      <c r="E130" s="844"/>
      <c r="F130" s="844"/>
      <c r="G130" s="844"/>
      <c r="H130" s="892"/>
      <c r="I130" s="892"/>
      <c r="J130" s="892"/>
      <c r="K130" s="892"/>
      <c r="L130" s="892"/>
      <c r="M130" s="844"/>
      <c r="N130" s="891"/>
      <c r="O130" s="960"/>
      <c r="P130" s="960"/>
      <c r="Q130" s="960"/>
      <c r="R130" s="960"/>
      <c r="S130" s="844"/>
      <c r="T130" s="844"/>
      <c r="U130" s="844"/>
      <c r="V130" s="844"/>
      <c r="W130" s="844"/>
      <c r="X130" s="844"/>
      <c r="Y130" s="1001"/>
      <c r="Z130" s="847"/>
      <c r="AA130" s="850"/>
      <c r="AB130" s="847"/>
      <c r="AC130" s="847"/>
      <c r="AD130" s="847"/>
    </row>
    <row customHeight="1" ht="9">
      <c r="A131" s="846"/>
      <c r="B131" s="846"/>
      <c r="C131" s="844"/>
      <c r="D131" s="844"/>
      <c r="E131" s="844"/>
      <c r="F131" s="844"/>
      <c r="G131" s="844"/>
      <c r="H131" s="892"/>
      <c r="I131" s="892"/>
      <c r="J131" s="892"/>
      <c r="K131" s="892"/>
      <c r="L131" s="892"/>
      <c r="M131" s="844"/>
      <c r="N131" s="891"/>
      <c r="O131" s="961"/>
      <c r="P131" s="961"/>
      <c r="Q131" s="961"/>
      <c r="R131" s="961"/>
      <c r="S131" s="844"/>
      <c r="T131" s="844"/>
      <c r="U131" s="844"/>
      <c r="V131" s="844"/>
      <c r="W131" s="844"/>
      <c r="X131" s="844"/>
      <c r="Y131" s="1001"/>
      <c r="Z131" s="847"/>
      <c r="AA131" s="850"/>
      <c r="AB131" s="847"/>
      <c r="AC131" s="847"/>
      <c r="AD131" s="847"/>
    </row>
    <row customHeight="1" ht="9">
      <c r="A132" s="846"/>
      <c r="B132" s="846"/>
      <c r="C132" s="844"/>
      <c r="D132" s="844"/>
      <c r="E132" s="844"/>
      <c r="F132" s="844"/>
      <c r="G132" s="844"/>
      <c r="H132" s="892"/>
      <c r="I132" s="892"/>
      <c r="J132" s="892"/>
      <c r="K132" s="892"/>
      <c r="L132" s="892"/>
      <c r="M132" s="844"/>
      <c r="N132" s="891"/>
      <c r="O132" s="960"/>
      <c r="P132" s="960"/>
      <c r="Q132" s="960"/>
      <c r="R132" s="960"/>
      <c r="S132" s="844"/>
      <c r="T132" s="844"/>
      <c r="U132" s="844"/>
      <c r="V132" s="844"/>
      <c r="W132" s="844"/>
      <c r="X132" s="844"/>
      <c r="Y132" s="1001"/>
      <c r="Z132" s="847"/>
      <c r="AA132" s="850"/>
      <c r="AB132" s="847"/>
      <c r="AC132" s="847"/>
      <c r="AD132" s="847"/>
    </row>
    <row customHeight="1" ht="9">
      <c r="A133" s="846"/>
      <c r="B133" s="846"/>
      <c r="C133" s="844"/>
      <c r="D133" s="844"/>
      <c r="E133" s="844"/>
      <c r="F133" s="844"/>
      <c r="G133" s="844"/>
      <c r="H133" s="892"/>
      <c r="I133" s="892"/>
      <c r="J133" s="892"/>
      <c r="K133" s="892"/>
      <c r="L133" s="892"/>
      <c r="M133" s="844"/>
      <c r="N133" s="891"/>
      <c r="O133" s="961"/>
      <c r="P133" s="961"/>
      <c r="Q133" s="961"/>
      <c r="R133" s="961"/>
      <c r="S133" s="844"/>
      <c r="T133" s="844"/>
      <c r="U133" s="844"/>
      <c r="V133" s="844"/>
      <c r="W133" s="844"/>
      <c r="X133" s="844"/>
      <c r="Y133" s="1001"/>
      <c r="Z133" s="847"/>
      <c r="AA133" s="850"/>
      <c r="AB133" s="847"/>
      <c r="AC133" s="847"/>
      <c r="AD133" s="847"/>
    </row>
    <row customHeight="1" ht="9">
      <c r="A134" s="846"/>
      <c r="B134" s="846"/>
      <c r="C134" s="844"/>
      <c r="D134" s="844"/>
      <c r="E134" s="844"/>
      <c r="F134" s="844"/>
      <c r="G134" s="844"/>
      <c r="H134" s="892"/>
      <c r="I134" s="892"/>
      <c r="J134" s="892"/>
      <c r="K134" s="892"/>
      <c r="L134" s="892"/>
      <c r="M134" s="844"/>
      <c r="N134" s="891"/>
      <c r="O134" s="958"/>
      <c r="P134" s="958"/>
      <c r="Q134" s="958"/>
      <c r="R134" s="958"/>
      <c r="S134" s="844"/>
      <c r="T134" s="844"/>
      <c r="U134" s="844"/>
      <c r="V134" s="844"/>
      <c r="W134" s="844"/>
      <c r="X134" s="844"/>
      <c r="Y134" s="1001"/>
      <c r="Z134" s="847"/>
      <c r="AA134" s="850"/>
      <c r="AB134" s="847"/>
      <c r="AC134" s="847"/>
      <c r="AD134" s="847"/>
    </row>
    <row customHeight="1" ht="9">
      <c r="A135" s="846"/>
      <c r="B135" s="846"/>
      <c r="C135" s="844"/>
      <c r="D135" s="844"/>
      <c r="E135" s="844"/>
      <c r="F135" s="844"/>
      <c r="G135" s="844"/>
      <c r="H135" s="892"/>
      <c r="I135" s="892"/>
      <c r="J135" s="892"/>
      <c r="K135" s="892"/>
      <c r="L135" s="892"/>
      <c r="M135" s="844"/>
      <c r="N135" s="891"/>
      <c r="O135" s="958"/>
      <c r="P135" s="958"/>
      <c r="Q135" s="958"/>
      <c r="R135" s="958"/>
      <c r="S135" s="844"/>
      <c r="T135" s="844"/>
      <c r="U135" s="844"/>
      <c r="V135" s="844"/>
      <c r="W135" s="844"/>
      <c r="X135" s="844"/>
      <c r="Y135" s="1001"/>
      <c r="Z135" s="847"/>
      <c r="AA135" s="850"/>
      <c r="AB135" s="847"/>
      <c r="AC135" s="847"/>
      <c r="AD135" s="847"/>
    </row>
    <row customHeight="1" ht="9">
      <c r="A136" s="846"/>
      <c r="B136" s="846"/>
      <c r="C136" s="844"/>
      <c r="D136" s="844"/>
      <c r="E136" s="844"/>
      <c r="F136" s="844"/>
      <c r="G136" s="844"/>
      <c r="H136" s="892"/>
      <c r="I136" s="892"/>
      <c r="J136" s="892"/>
      <c r="K136" s="892"/>
      <c r="L136" s="892"/>
      <c r="M136" s="844"/>
      <c r="N136" s="891"/>
      <c r="O136" s="958"/>
      <c r="P136" s="958"/>
      <c r="Q136" s="958"/>
      <c r="R136" s="958"/>
      <c r="S136" s="844"/>
      <c r="T136" s="844"/>
      <c r="U136" s="844"/>
      <c r="V136" s="844"/>
      <c r="W136" s="844"/>
      <c r="X136" s="844"/>
      <c r="Y136" s="1001"/>
      <c r="Z136" s="847"/>
      <c r="AA136" s="850"/>
      <c r="AB136" s="847"/>
      <c r="AC136" s="847"/>
      <c r="AD136" s="847"/>
    </row>
    <row customHeight="1" ht="9">
      <c r="A137" s="846"/>
      <c r="B137" s="846"/>
      <c r="C137" s="844"/>
      <c r="D137" s="844"/>
      <c r="E137" s="844"/>
      <c r="F137" s="844"/>
      <c r="G137" s="844"/>
      <c r="H137" s="892"/>
      <c r="I137" s="892"/>
      <c r="J137" s="892"/>
      <c r="K137" s="892"/>
      <c r="L137" s="892"/>
      <c r="M137" s="844"/>
      <c r="N137" s="891"/>
      <c r="O137" s="962"/>
      <c r="P137" s="962"/>
      <c r="Q137" s="962"/>
      <c r="R137" s="962"/>
      <c r="S137" s="844"/>
      <c r="T137" s="844"/>
      <c r="U137" s="844"/>
      <c r="V137" s="844"/>
      <c r="W137" s="844"/>
      <c r="X137" s="844"/>
      <c r="Y137" s="1001"/>
      <c r="Z137" s="847"/>
      <c r="AA137" s="850"/>
      <c r="AB137" s="847"/>
      <c r="AC137" s="847"/>
      <c r="AD137" s="847"/>
    </row>
    <row customHeight="1" ht="9">
      <c r="A138" s="846"/>
      <c r="B138" s="846"/>
      <c r="C138" s="844"/>
      <c r="D138" s="844"/>
      <c r="E138" s="844"/>
      <c r="F138" s="844"/>
      <c r="G138" s="844"/>
      <c r="H138" s="892"/>
      <c r="I138" s="892"/>
      <c r="J138" s="892"/>
      <c r="K138" s="892"/>
      <c r="L138" s="892"/>
      <c r="M138" s="844"/>
      <c r="N138" s="891"/>
      <c r="O138" s="959"/>
      <c r="P138" s="959"/>
      <c r="Q138" s="959"/>
      <c r="R138" s="959"/>
      <c r="S138" s="844"/>
      <c r="T138" s="844"/>
      <c r="U138" s="844"/>
      <c r="V138" s="844"/>
      <c r="W138" s="844"/>
      <c r="X138" s="844"/>
      <c r="Y138" s="1001"/>
      <c r="Z138" s="847"/>
      <c r="AA138" s="850"/>
      <c r="AB138" s="847"/>
      <c r="AC138" s="847"/>
      <c r="AD138" s="847"/>
    </row>
    <row customHeight="1" ht="9">
      <c r="A139" s="846"/>
      <c r="B139" s="846"/>
      <c r="C139" s="844"/>
      <c r="D139" s="844"/>
      <c r="E139" s="844"/>
      <c r="F139" s="844"/>
      <c r="G139" s="844"/>
      <c r="H139" s="892"/>
      <c r="I139" s="892"/>
      <c r="J139" s="892"/>
      <c r="K139" s="892"/>
      <c r="L139" s="892"/>
      <c r="M139" s="844"/>
      <c r="N139" s="891"/>
      <c r="O139" s="844"/>
      <c r="P139" s="844"/>
      <c r="Q139" s="844"/>
      <c r="R139" s="844"/>
      <c r="S139" s="844"/>
      <c r="T139" s="844"/>
      <c r="U139" s="844"/>
      <c r="V139" s="844"/>
      <c r="W139" s="844"/>
      <c r="X139" s="844"/>
      <c r="Y139" s="1001"/>
      <c r="Z139" s="847"/>
      <c r="AA139" s="850"/>
      <c r="AB139" s="847"/>
      <c r="AC139" s="847"/>
      <c r="AD139" s="847"/>
    </row>
    <row customHeight="1" ht="9">
      <c r="A140" s="846"/>
      <c r="B140" s="846"/>
      <c r="C140" s="844"/>
      <c r="D140" s="844"/>
      <c r="E140" s="844"/>
      <c r="F140" s="844"/>
      <c r="G140" s="844"/>
      <c r="H140" s="892"/>
      <c r="I140" s="892"/>
      <c r="J140" s="892"/>
      <c r="K140" s="892"/>
      <c r="L140" s="892"/>
      <c r="M140" s="844"/>
      <c r="N140" s="891"/>
      <c r="O140" s="844"/>
      <c r="P140" s="844"/>
      <c r="Q140" s="844"/>
      <c r="R140" s="844"/>
      <c r="S140" s="844"/>
      <c r="T140" s="844"/>
      <c r="U140" s="844"/>
      <c r="V140" s="844"/>
      <c r="W140" s="844"/>
      <c r="X140" s="844"/>
      <c r="Y140" s="1001"/>
      <c r="Z140" s="847"/>
      <c r="AA140" s="850"/>
      <c r="AB140" s="847"/>
      <c r="AC140" s="847"/>
      <c r="AD140" s="847"/>
    </row>
    <row customHeight="1" ht="9">
      <c r="A141" s="846"/>
      <c r="B141" s="846"/>
      <c r="C141" s="844"/>
      <c r="D141" s="844"/>
      <c r="E141" s="844"/>
      <c r="F141" s="844"/>
      <c r="G141" s="844"/>
      <c r="H141" s="892"/>
      <c r="I141" s="892"/>
      <c r="J141" s="892"/>
      <c r="K141" s="892"/>
      <c r="L141" s="892"/>
      <c r="M141" s="844"/>
      <c r="N141" s="891"/>
      <c r="O141" s="844"/>
      <c r="P141" s="844"/>
      <c r="Q141" s="844"/>
      <c r="R141" s="844"/>
      <c r="S141" s="844"/>
      <c r="T141" s="844"/>
      <c r="U141" s="844"/>
      <c r="V141" s="844"/>
      <c r="W141" s="844"/>
      <c r="X141" s="844"/>
      <c r="Y141" s="1001"/>
      <c r="Z141" s="847"/>
      <c r="AA141" s="850"/>
      <c r="AB141" s="847"/>
      <c r="AC141" s="847"/>
      <c r="AD141" s="847"/>
    </row>
    <row customHeight="1" ht="9">
      <c r="A142" s="846"/>
      <c r="B142" s="846"/>
      <c r="C142" s="844"/>
      <c r="D142" s="844"/>
      <c r="E142" s="844"/>
      <c r="F142" s="844"/>
      <c r="G142" s="844"/>
      <c r="H142" s="892"/>
      <c r="I142" s="892"/>
      <c r="J142" s="892"/>
      <c r="K142" s="892"/>
      <c r="L142" s="892"/>
      <c r="M142" s="844"/>
      <c r="N142" s="891"/>
      <c r="O142" s="844"/>
      <c r="P142" s="844"/>
      <c r="Q142" s="844"/>
      <c r="R142" s="844"/>
      <c r="S142" s="844"/>
      <c r="T142" s="844"/>
      <c r="U142" s="844"/>
      <c r="V142" s="844"/>
      <c r="W142" s="844"/>
      <c r="X142" s="844"/>
      <c r="Y142" s="1001"/>
      <c r="Z142" s="847"/>
      <c r="AA142" s="850"/>
      <c r="AB142" s="847"/>
      <c r="AC142" s="847"/>
      <c r="AD142" s="847"/>
    </row>
    <row customHeight="1" ht="9">
      <c r="A143" s="846"/>
      <c r="B143" s="846"/>
      <c r="C143" s="844"/>
      <c r="D143" s="844"/>
      <c r="E143" s="844"/>
      <c r="F143" s="844"/>
      <c r="G143" s="844"/>
      <c r="H143" s="892"/>
      <c r="I143" s="892"/>
      <c r="J143" s="892"/>
      <c r="K143" s="892"/>
      <c r="L143" s="892"/>
      <c r="M143" s="844"/>
      <c r="N143" s="891"/>
      <c r="O143" s="844"/>
      <c r="P143" s="844"/>
      <c r="Q143" s="844"/>
      <c r="R143" s="844"/>
      <c r="S143" s="844"/>
      <c r="T143" s="844"/>
      <c r="U143" s="844"/>
      <c r="V143" s="844"/>
      <c r="W143" s="844"/>
      <c r="X143" s="844"/>
      <c r="Y143" s="1001"/>
      <c r="Z143" s="847"/>
      <c r="AA143" s="850"/>
      <c r="AB143" s="847"/>
      <c r="AC143" s="847"/>
      <c r="AD143" s="847"/>
    </row>
    <row customHeight="1" ht="9">
      <c r="A144" s="846"/>
      <c r="B144" s="846"/>
      <c r="C144" s="844"/>
      <c r="D144" s="844"/>
      <c r="E144" s="844"/>
      <c r="F144" s="844"/>
      <c r="G144" s="844"/>
      <c r="H144" s="892"/>
      <c r="I144" s="892"/>
      <c r="J144" s="892"/>
      <c r="K144" s="892"/>
      <c r="L144" s="892"/>
      <c r="M144" s="844"/>
      <c r="N144" s="891"/>
      <c r="O144" s="844"/>
      <c r="P144" s="844"/>
      <c r="Q144" s="844"/>
      <c r="R144" s="844"/>
      <c r="S144" s="844"/>
      <c r="T144" s="844"/>
      <c r="U144" s="844"/>
      <c r="V144" s="844"/>
      <c r="W144" s="844"/>
      <c r="X144" s="844"/>
      <c r="Y144" s="1001"/>
      <c r="Z144" s="847"/>
      <c r="AA144" s="850"/>
      <c r="AB144" s="847"/>
      <c r="AC144" s="847"/>
      <c r="AD144" s="847"/>
    </row>
    <row customHeight="1" ht="9">
      <c r="A145" s="846"/>
      <c r="B145" s="846"/>
      <c r="C145" s="844"/>
      <c r="D145" s="844"/>
      <c r="E145" s="844"/>
      <c r="F145" s="844"/>
      <c r="G145" s="844"/>
      <c r="H145" s="892"/>
      <c r="I145" s="892"/>
      <c r="J145" s="892"/>
      <c r="K145" s="892"/>
      <c r="L145" s="892"/>
      <c r="M145" s="844"/>
      <c r="N145" s="891"/>
      <c r="O145" s="844"/>
      <c r="P145" s="844"/>
      <c r="Q145" s="844"/>
      <c r="R145" s="844"/>
      <c r="S145" s="844"/>
      <c r="T145" s="844"/>
      <c r="U145" s="844"/>
      <c r="V145" s="844"/>
      <c r="W145" s="844"/>
      <c r="X145" s="844"/>
      <c r="Y145" s="1001"/>
      <c r="Z145" s="847"/>
      <c r="AA145" s="850"/>
      <c r="AB145" s="847"/>
      <c r="AC145" s="847"/>
      <c r="AD145" s="847"/>
    </row>
    <row customHeight="1" ht="9">
      <c r="A146" s="846"/>
      <c r="B146" s="846"/>
      <c r="C146" s="844"/>
      <c r="D146" s="844"/>
      <c r="E146" s="844"/>
      <c r="F146" s="844"/>
      <c r="G146" s="844"/>
      <c r="H146" s="892"/>
      <c r="I146" s="892"/>
      <c r="J146" s="892"/>
      <c r="K146" s="892"/>
      <c r="L146" s="892"/>
      <c r="M146" s="844"/>
      <c r="N146" s="891"/>
      <c r="O146" s="844"/>
      <c r="P146" s="844"/>
      <c r="Q146" s="844"/>
      <c r="R146" s="844"/>
      <c r="S146" s="844"/>
      <c r="T146" s="844"/>
      <c r="U146" s="844"/>
      <c r="V146" s="844"/>
      <c r="W146" s="844"/>
      <c r="X146" s="844"/>
      <c r="Y146" s="1001"/>
      <c r="Z146" s="847"/>
      <c r="AA146" s="850"/>
      <c r="AB146" s="847"/>
      <c r="AC146" s="847"/>
      <c r="AD146" s="847"/>
    </row>
    <row customHeight="1" ht="9">
      <c r="A147" s="846"/>
      <c r="B147" s="846"/>
      <c r="C147" s="846"/>
      <c r="D147" s="846"/>
      <c r="E147" s="846"/>
      <c r="F147" s="846"/>
      <c r="G147" s="846"/>
      <c r="H147" s="846"/>
      <c r="I147" s="846"/>
      <c r="J147" s="846"/>
      <c r="K147" s="846"/>
      <c r="L147" s="846"/>
      <c r="M147" s="846"/>
      <c r="N147" s="846"/>
      <c r="O147" s="846"/>
      <c r="P147" s="846"/>
      <c r="Q147" s="846"/>
      <c r="R147" s="846"/>
      <c r="S147" s="846"/>
      <c r="T147" s="846"/>
      <c r="U147" s="846"/>
      <c r="V147" s="846"/>
      <c r="W147" s="846"/>
      <c r="X147" s="846"/>
      <c r="Y147" s="846"/>
      <c r="Z147" s="846"/>
      <c r="AA147" s="846"/>
      <c r="AB147" s="846"/>
      <c r="AC147" s="846"/>
      <c r="AD147" s="846"/>
    </row>
    <row customHeight="1" ht="90">
      <c r="A148" s="846" t="s">
        <v>1675</v>
      </c>
      <c r="B148" s="846"/>
      <c r="C148" s="844" t="s">
        <v>2239</v>
      </c>
      <c r="D148" s="844" t="s">
        <v>1578</v>
      </c>
      <c r="E148" s="844" t="s">
        <v>1677</v>
      </c>
      <c r="F148" s="844" t="s">
        <v>2240</v>
      </c>
      <c r="G148" s="844"/>
      <c r="H148" s="844"/>
      <c r="I148" s="964"/>
      <c r="J148" s="964"/>
      <c r="K148" s="964"/>
      <c r="L148" s="964"/>
      <c r="M148" s="894" t="str">
        <f>IF(TEMPLATE_SPHERE="HEAT",T148,IF(TEMPLATE_SPHERE="TKO",X148,U148))</f>
        <v>Сведения об условиях публичных договоров регулируемых организаций,  сведения об условиях публичных договоров, заключаемых единой теплоснабжающей организацией в ценовых зонах теплоснабжения, теплоснабжающей организацией в ценовых зонах теплоснабжения и теплосетевой организацией в ценовых зонах теплоснабжения, в том числе</v>
      </c>
      <c r="N148" s="849"/>
      <c r="O148" s="844"/>
      <c r="P148" s="845"/>
      <c r="Q148" s="845"/>
      <c r="R148" s="845"/>
      <c r="S148" s="844"/>
      <c r="T148" s="844" t="s">
        <v>2241</v>
      </c>
      <c r="U148" s="845" t="str">
        <f>"Сведения об условиях публичных договоров поставок товаров (оказания услуг), тарифы на которые подлежат регулированию, в том числе договоров о подключении (технологическом присоединении) к централизованной системе "&amp;TEMPLATE_SPHERE_RUS</f>
        <v>Сведения об условиях публичных договоров поставок товаров (оказания услуг), тарифы на которые подлежат регулированию, в том числе договоров о подключении (технологическом присоединении) к централизованной системе теплоснабжения</v>
      </c>
      <c r="V148" s="845"/>
      <c r="W148" s="845"/>
      <c r="X148" s="844" t="s">
        <v>2242</v>
      </c>
      <c r="Y148" s="1001"/>
      <c r="Z148" s="847"/>
      <c r="AA148" s="850"/>
      <c r="AB148" s="847"/>
      <c r="AC148" s="847"/>
      <c r="AD148" s="847"/>
    </row>
    <row customHeight="1" ht="9">
      <c r="A149" s="846"/>
      <c r="B149" s="846"/>
      <c r="C149" s="846"/>
      <c r="D149" s="846"/>
      <c r="E149" s="846"/>
      <c r="F149" s="846"/>
      <c r="G149" s="846"/>
      <c r="H149" s="846"/>
      <c r="I149" s="846"/>
      <c r="J149" s="846"/>
      <c r="K149" s="846"/>
      <c r="L149" s="846"/>
      <c r="M149" s="846"/>
      <c r="N149" s="846"/>
      <c r="O149" s="846"/>
      <c r="P149" s="846"/>
      <c r="Q149" s="846"/>
      <c r="R149" s="846"/>
      <c r="S149" s="846"/>
      <c r="T149" s="846"/>
      <c r="U149" s="846"/>
      <c r="V149" s="846"/>
      <c r="W149" s="846"/>
      <c r="X149" s="846"/>
      <c r="Y149" s="846"/>
      <c r="Z149" s="846"/>
      <c r="AA149" s="846"/>
      <c r="AB149" s="846"/>
      <c r="AC149" s="846"/>
      <c r="AD149" s="846"/>
    </row>
    <row customHeight="1" ht="9">
      <c r="A150" s="846" t="s">
        <v>1679</v>
      </c>
      <c r="B150" s="846"/>
      <c r="C150" s="844"/>
      <c r="D150" s="844"/>
      <c r="E150" s="844"/>
      <c r="F150" s="844"/>
      <c r="G150" s="844"/>
      <c r="H150" s="844"/>
      <c r="I150" s="844"/>
      <c r="J150" s="844"/>
      <c r="K150" s="844"/>
      <c r="L150" s="844"/>
      <c r="M150" s="844"/>
      <c r="N150" s="844"/>
      <c r="O150" s="844"/>
      <c r="P150" s="844"/>
      <c r="Q150" s="844"/>
      <c r="R150" s="844"/>
      <c r="S150" s="844"/>
      <c r="T150" s="844"/>
      <c r="U150" s="844"/>
      <c r="V150" s="844"/>
      <c r="W150" s="844"/>
      <c r="X150" s="844"/>
      <c r="Y150" s="1001"/>
      <c r="Z150" s="847"/>
      <c r="AA150" s="850"/>
      <c r="AB150" s="847"/>
      <c r="AC150" s="847"/>
      <c r="AD150" s="847"/>
    </row>
    <row customHeight="1" ht="9">
      <c r="A151" s="846"/>
      <c r="B151" s="846"/>
      <c r="C151" s="846"/>
      <c r="D151" s="846"/>
      <c r="E151" s="846"/>
      <c r="F151" s="846"/>
      <c r="G151" s="846"/>
      <c r="H151" s="846"/>
      <c r="I151" s="846"/>
      <c r="J151" s="846"/>
      <c r="K151" s="846"/>
      <c r="L151" s="846"/>
      <c r="M151" s="846"/>
      <c r="N151" s="846"/>
      <c r="O151" s="846"/>
      <c r="P151" s="846"/>
      <c r="Q151" s="846"/>
      <c r="R151" s="846"/>
      <c r="S151" s="846"/>
      <c r="T151" s="846"/>
      <c r="U151" s="846"/>
      <c r="V151" s="846"/>
      <c r="W151" s="846"/>
      <c r="X151" s="846"/>
      <c r="Y151" s="846"/>
      <c r="Z151" s="846"/>
      <c r="AA151" s="846"/>
      <c r="AB151" s="846"/>
      <c r="AC151" s="846"/>
      <c r="AD151" s="846"/>
    </row>
    <row customHeight="1" ht="9">
      <c r="A152" s="846" t="s">
        <v>1682</v>
      </c>
      <c r="B152" s="846"/>
      <c r="C152" s="844"/>
      <c r="D152" s="844"/>
      <c r="E152" s="844"/>
      <c r="F152" s="844"/>
      <c r="G152" s="844"/>
      <c r="H152" s="844"/>
      <c r="I152" s="844"/>
      <c r="J152" s="844"/>
      <c r="K152" s="844"/>
      <c r="L152" s="844"/>
      <c r="M152" s="844"/>
      <c r="N152" s="844"/>
      <c r="O152" s="844"/>
      <c r="P152" s="844"/>
      <c r="Q152" s="844"/>
      <c r="R152" s="844"/>
      <c r="S152" s="844"/>
      <c r="T152" s="844"/>
      <c r="U152" s="844"/>
      <c r="V152" s="844"/>
      <c r="W152" s="844"/>
      <c r="X152" s="844"/>
      <c r="Y152" s="1001"/>
      <c r="Z152" s="847"/>
      <c r="AA152" s="850"/>
      <c r="AB152" s="847"/>
      <c r="AC152" s="847"/>
      <c r="AD152" s="847"/>
    </row>
    <row customHeight="1" ht="9">
      <c r="A153" s="846"/>
      <c r="B153" s="846"/>
      <c r="C153" s="846"/>
      <c r="D153" s="846"/>
      <c r="E153" s="846"/>
      <c r="F153" s="846"/>
      <c r="G153" s="846"/>
      <c r="H153" s="846"/>
      <c r="I153" s="846"/>
      <c r="J153" s="846"/>
      <c r="K153" s="846"/>
      <c r="L153" s="846"/>
      <c r="M153" s="846"/>
      <c r="N153" s="846"/>
      <c r="O153" s="846"/>
      <c r="P153" s="846"/>
      <c r="Q153" s="846"/>
      <c r="R153" s="846"/>
      <c r="S153" s="846"/>
      <c r="T153" s="846"/>
      <c r="U153" s="846"/>
      <c r="V153" s="846"/>
      <c r="W153" s="846"/>
      <c r="X153" s="846"/>
      <c r="Y153" s="846"/>
      <c r="Z153" s="846"/>
      <c r="AA153" s="846"/>
      <c r="AB153" s="846"/>
      <c r="AC153" s="846"/>
      <c r="AD153" s="846"/>
    </row>
    <row customHeight="1" ht="9">
      <c r="A154" s="846" t="s">
        <v>1686</v>
      </c>
      <c r="B154" s="846"/>
      <c r="C154" s="844"/>
      <c r="D154" s="844"/>
      <c r="E154" s="844"/>
      <c r="F154" s="844"/>
      <c r="G154" s="844"/>
      <c r="H154" s="844"/>
      <c r="I154" s="844"/>
      <c r="J154" s="844"/>
      <c r="K154" s="844"/>
      <c r="L154" s="844"/>
      <c r="M154" s="844"/>
      <c r="N154" s="844"/>
      <c r="O154" s="844"/>
      <c r="P154" s="844"/>
      <c r="Q154" s="844"/>
      <c r="R154" s="844"/>
      <c r="S154" s="844"/>
      <c r="T154" s="844"/>
      <c r="U154" s="844"/>
      <c r="V154" s="844"/>
      <c r="W154" s="844"/>
      <c r="X154" s="844"/>
      <c r="Y154" s="1001"/>
      <c r="Z154" s="847"/>
      <c r="AA154" s="850"/>
      <c r="AB154" s="847"/>
      <c r="AC154" s="847"/>
      <c r="AD154" s="847"/>
    </row>
  </sheetData>
  <sheetProtection sort="0" autoFilter="0" insertRows="0" insertColumns="1" deleteRows="0" deleteColumns="0"/>
  <mergeCells count="12">
    <mergeCell ref="T1:X1"/>
    <mergeCell ref="Z1:AD1"/>
    <mergeCell ref="A11:A15"/>
    <mergeCell ref="H13:H14"/>
    <mergeCell ref="H15:H16"/>
    <mergeCell ref="C3:F3"/>
    <mergeCell ref="C11:C16"/>
    <mergeCell ref="D11:D16"/>
    <mergeCell ref="E11:E16"/>
    <mergeCell ref="F11:F16"/>
    <mergeCell ref="G11:G16"/>
    <mergeCell ref="O1:S1"/>
  </mergeCell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legacyDrawing r:id="rId2"/>
</worksheet>
</file>

<file path=xl/worksheets/sheet6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CE71B114-B208-FA68-01A8-5082D59C8038}" mc:Ignorable="x14ac xr xr2 xr3">
  <sheetPr>
    <tabColor theme="6" tint="0.4"/>
  </sheetPr>
  <dimension ref="A1:AD41"/>
  <sheetViews>
    <sheetView topLeftCell="I4" showGridLines="0" workbookViewId="0">
      <selection activeCell="A1" sqref="A1"/>
    </sheetView>
  </sheetViews>
  <sheetFormatPr defaultColWidth="10.57421875" customHeight="1" defaultRowHeight="14.25"/>
  <cols>
    <col min="1" max="1" style="1367" width="10.57421875" hidden="1"/>
    <col min="2" max="2" style="1367" width="11.00390625" hidden="1" customWidth="1"/>
    <col min="3" max="3" style="1367" width="10.57421875" hidden="1"/>
    <col min="4" max="4" style="1367" width="11.8515625" hidden="1" customWidth="1"/>
    <col min="5" max="5" style="1367" width="12.28125" hidden="1" customWidth="1"/>
    <col min="6" max="8" style="1777" width="12.28125" hidden="1" customWidth="1"/>
    <col min="9" max="9" style="2398" width="3.00390625" customWidth="1"/>
    <col min="10" max="11" style="345" width="3.00390625" customWidth="1"/>
    <col min="12" max="12" style="2408" width="12.00390625" customWidth="1"/>
    <col min="13" max="13" style="1636" width="31.00390625" customWidth="1"/>
    <col min="14" max="14" style="1636" width="1.00390625" customWidth="1"/>
    <col min="15" max="18" style="1636" width="24.00390625" customWidth="1"/>
    <col min="19" max="19" style="1636" width="11.00390625" customWidth="1"/>
    <col min="20" max="20" style="1636" width="3.7109375" customWidth="1"/>
    <col min="21" max="21" style="1636" width="11.00390625" customWidth="1"/>
    <col min="22" max="22" style="1636" width="8.57421875" customWidth="1"/>
    <col min="23" max="23" style="1636" width="4.00390625" customWidth="1"/>
    <col min="24" max="24" style="1636" width="115.00390625" customWidth="1"/>
    <col min="25" max="29" style="1643" width="10.00390625" customWidth="1"/>
    <col min="30" max="30" style="1636" width="10.57421875" hidden="1"/>
  </cols>
  <sheetData>
    <row customHeight="1" ht="22.5" hidden="1">
      <c r="R1" s="328"/>
      <c r="S1" s="328"/>
      <c r="AD1" s="1156" t="s">
        <v>14</v>
      </c>
    </row>
    <row customHeight="1" ht="14.25" hidden="1">
      <c r="V2" s="328"/>
      <c r="AD2" s="1156">
        <v>0</v>
      </c>
    </row>
    <row customHeight="1" ht="14.25" hidden="1">
      <c r="AD3" s="1156">
        <v>0</v>
      </c>
    </row>
    <row customHeight="1" ht="14.699999999999998">
      <c r="J4" s="377"/>
      <c r="K4" s="377"/>
      <c r="L4" s="1276"/>
      <c r="M4" s="364"/>
      <c r="N4" s="364"/>
      <c r="O4" s="510"/>
      <c r="P4" s="510"/>
      <c r="Q4" s="510"/>
      <c r="R4" s="510"/>
      <c r="S4" s="510"/>
      <c r="T4" s="510"/>
      <c r="U4" s="510"/>
      <c r="V4" s="510"/>
      <c r="AD4" s="1156">
        <v>14</v>
      </c>
    </row>
    <row customHeight="1" ht="67.2">
      <c r="J5" s="377"/>
      <c r="K5" s="377"/>
      <c r="L5" s="2604" t="s">
        <v>2243</v>
      </c>
      <c r="M5" s="2604"/>
      <c r="N5" s="2604"/>
      <c r="O5" s="2604"/>
      <c r="P5" s="2604"/>
      <c r="Q5" s="2604"/>
      <c r="R5" s="2604"/>
      <c r="S5" s="2604"/>
      <c r="T5" s="2604"/>
      <c r="U5" s="2604"/>
      <c r="V5" s="1244"/>
      <c r="AD5" s="1156">
        <v>64</v>
      </c>
    </row>
    <row customHeight="1" ht="14.699999999999998">
      <c r="J6" s="377"/>
      <c r="K6" s="377"/>
      <c r="L6" s="2605" t="str">
        <f>IF(org=0,"Не определено",org)</f>
        <v>ПАО "КГК"</v>
      </c>
      <c r="M6" s="2605"/>
      <c r="N6" s="2605"/>
      <c r="O6" s="2605"/>
      <c r="P6" s="2605"/>
      <c r="Q6" s="2605"/>
      <c r="R6" s="2605"/>
      <c r="S6" s="2605"/>
      <c r="T6" s="2605"/>
      <c r="U6" s="2605"/>
      <c r="V6" s="1244"/>
      <c r="AD6" s="1156">
        <v>14</v>
      </c>
    </row>
    <row customHeight="1" ht="14.699999999999998">
      <c r="J7" s="377"/>
      <c r="K7" s="377"/>
      <c r="L7" s="1276"/>
      <c r="M7" s="364"/>
      <c r="N7" s="364"/>
      <c r="O7" s="323"/>
      <c r="P7" s="323"/>
      <c r="Q7" s="323"/>
      <c r="R7" s="323"/>
      <c r="S7" s="323"/>
      <c r="T7" s="323"/>
      <c r="U7" s="323"/>
      <c r="V7" s="323"/>
      <c r="W7" s="510"/>
      <c r="AD7" s="1156">
        <v>14</v>
      </c>
    </row>
    <row s="1854" customFormat="1" customHeight="1" ht="48.29999999999999">
      <c r="A8" s="1369"/>
      <c r="B8" s="1369"/>
      <c r="C8" s="1369"/>
      <c r="D8" s="1369"/>
      <c r="E8" s="1369"/>
      <c r="F8" s="1369"/>
      <c r="G8" s="1369"/>
      <c r="H8" s="1369"/>
      <c r="L8" s="1277"/>
      <c r="M8" s="296" t="s">
        <v>42</v>
      </c>
      <c r="N8" s="305"/>
      <c r="O8" s="2252" t="str">
        <f>IF(TITLE_NAME_OR_PR_CHANGE="",IF(TITLE_NAME_OR_PR="","",TITLE_NAME_OR_PR),TITLE_NAME_OR_PR_CHANGE)</f>
        <v/>
      </c>
      <c r="P8" s="2252"/>
      <c r="Q8" s="2252"/>
      <c r="R8" s="2252"/>
      <c r="S8" s="2252"/>
      <c r="T8" s="2252"/>
      <c r="U8" s="2252"/>
      <c r="V8" s="327"/>
      <c r="W8" s="327"/>
      <c r="X8" s="281"/>
      <c r="Y8" s="369"/>
      <c r="Z8" s="369"/>
      <c r="AA8" s="369"/>
      <c r="AB8" s="369"/>
      <c r="AC8" s="369"/>
      <c r="AD8" s="419">
        <v>46</v>
      </c>
    </row>
    <row s="1854" customFormat="1" customHeight="1" ht="24">
      <c r="A9" s="1369"/>
      <c r="B9" s="1369"/>
      <c r="C9" s="1369"/>
      <c r="D9" s="1369"/>
      <c r="E9" s="1369"/>
      <c r="F9" s="1369"/>
      <c r="G9" s="1369"/>
      <c r="H9" s="1369"/>
      <c r="L9" s="1277"/>
      <c r="M9" s="296" t="s">
        <v>437</v>
      </c>
      <c r="N9" s="305"/>
      <c r="O9" s="2252" t="str">
        <f>IF(TITLE_DATE_CHANGE_PERIOD="",IF(TITLE_DATE_PR="","",TITLE_DATE_PR),TITLE_DATE_CHANGE_PERIOD)</f>
        <v>46388</v>
      </c>
      <c r="P9" s="2252"/>
      <c r="Q9" s="2252"/>
      <c r="R9" s="2252"/>
      <c r="S9" s="2252"/>
      <c r="T9" s="2252"/>
      <c r="U9" s="2252"/>
      <c r="V9" s="327"/>
      <c r="W9" s="327"/>
      <c r="X9" s="281"/>
      <c r="Y9" s="369"/>
      <c r="Z9" s="369"/>
      <c r="AA9" s="369"/>
      <c r="AB9" s="369"/>
      <c r="AC9" s="369"/>
      <c r="AD9" s="419">
        <v>23</v>
      </c>
    </row>
    <row s="1854" customFormat="1" customHeight="1" ht="24">
      <c r="A10" s="1369"/>
      <c r="B10" s="1369"/>
      <c r="C10" s="1369"/>
      <c r="D10" s="1369"/>
      <c r="E10" s="1369"/>
      <c r="F10" s="1369"/>
      <c r="G10" s="1369"/>
      <c r="H10" s="1369"/>
      <c r="L10" s="1251"/>
      <c r="M10" s="296" t="s">
        <v>438</v>
      </c>
      <c r="N10" s="305"/>
      <c r="O10" s="2252" t="str">
        <f>IF(TITLE_NUMBER_PR_CHANGE="",IF(TITLE_NUMBER_PR="","",TITLE_NUMBER_PR),TITLE_NUMBER_PR_CHANGE)</f>
        <v>206Т</v>
      </c>
      <c r="P10" s="2252"/>
      <c r="Q10" s="2252"/>
      <c r="R10" s="2252"/>
      <c r="S10" s="2252"/>
      <c r="T10" s="2252"/>
      <c r="U10" s="2252"/>
      <c r="V10" s="327"/>
      <c r="W10" s="327"/>
      <c r="X10" s="281"/>
      <c r="Y10" s="369"/>
      <c r="Z10" s="369"/>
      <c r="AA10" s="369"/>
      <c r="AB10" s="369"/>
      <c r="AC10" s="369"/>
      <c r="AD10" s="419">
        <v>23</v>
      </c>
    </row>
    <row s="1854" customFormat="1" customHeight="1" ht="24">
      <c r="A11" s="1369"/>
      <c r="B11" s="1369"/>
      <c r="C11" s="1369"/>
      <c r="D11" s="1369"/>
      <c r="E11" s="1369"/>
      <c r="F11" s="1369"/>
      <c r="G11" s="1369"/>
      <c r="H11" s="1369"/>
      <c r="L11" s="1251"/>
      <c r="M11" s="296" t="s">
        <v>43</v>
      </c>
      <c r="N11" s="305"/>
      <c r="O11" s="2252" t="str">
        <f>IF(TITLE_IST_PUB_CHANGE="",IF(TITLE_IST_PUB="","",TITLE_IST_PUB),TITLE_IST_PUB_CHANGE)</f>
        <v/>
      </c>
      <c r="P11" s="2252"/>
      <c r="Q11" s="2252"/>
      <c r="R11" s="2252"/>
      <c r="S11" s="2252"/>
      <c r="T11" s="2252"/>
      <c r="U11" s="2252"/>
      <c r="V11" s="327"/>
      <c r="W11" s="327"/>
      <c r="X11" s="281"/>
      <c r="Y11" s="369"/>
      <c r="Z11" s="369"/>
      <c r="AA11" s="369"/>
      <c r="AB11" s="369"/>
      <c r="AC11" s="369"/>
      <c r="AD11" s="419">
        <v>23</v>
      </c>
    </row>
    <row s="1854" customFormat="1" customHeight="1" ht="11.25" hidden="1">
      <c r="A12" s="1369"/>
      <c r="B12" s="1369"/>
      <c r="C12" s="1369"/>
      <c r="D12" s="1369"/>
      <c r="E12" s="1369"/>
      <c r="F12" s="1369"/>
      <c r="G12" s="1369"/>
      <c r="H12" s="1369"/>
      <c r="L12" s="2606"/>
      <c r="M12" s="2606"/>
      <c r="N12" s="1288"/>
      <c r="O12" s="327"/>
      <c r="P12" s="327"/>
      <c r="Q12" s="327"/>
      <c r="R12" s="327"/>
      <c r="S12" s="327"/>
      <c r="T12" s="327"/>
      <c r="U12" s="327"/>
      <c r="V12" s="279" t="s">
        <v>441</v>
      </c>
      <c r="Y12" s="369"/>
      <c r="Z12" s="369"/>
      <c r="AA12" s="369"/>
      <c r="AB12" s="369"/>
      <c r="AC12" s="369"/>
      <c r="AD12" s="419">
        <v>0</v>
      </c>
    </row>
    <row customHeight="1" ht="14.699999999999998">
      <c r="J13" s="377"/>
      <c r="K13" s="377"/>
      <c r="L13" s="1276"/>
      <c r="M13" s="364"/>
      <c r="N13" s="1245"/>
      <c r="O13" s="2253"/>
      <c r="P13" s="2253"/>
      <c r="Q13" s="2253"/>
      <c r="R13" s="2253"/>
      <c r="S13" s="2253"/>
      <c r="T13" s="2253"/>
      <c r="U13" s="2253"/>
      <c r="V13" s="2253"/>
      <c r="AD13" s="1156">
        <v>14</v>
      </c>
    </row>
    <row customHeight="1" ht="14.699999999999998">
      <c r="J14" s="377"/>
      <c r="K14" s="377"/>
      <c r="L14" s="2128" t="s">
        <v>317</v>
      </c>
      <c r="M14" s="2128"/>
      <c r="N14" s="2128"/>
      <c r="O14" s="2128"/>
      <c r="P14" s="2128"/>
      <c r="Q14" s="2128"/>
      <c r="R14" s="2128"/>
      <c r="S14" s="2128"/>
      <c r="T14" s="2128"/>
      <c r="U14" s="2128"/>
      <c r="V14" s="2128"/>
      <c r="W14" s="2128"/>
      <c r="X14" s="2128" t="s">
        <v>318</v>
      </c>
      <c r="AD14" s="1156">
        <v>14</v>
      </c>
    </row>
    <row customHeight="1" ht="14.699999999999998">
      <c r="J15" s="377"/>
      <c r="K15" s="377"/>
      <c r="L15" s="2274" t="s">
        <v>89</v>
      </c>
      <c r="M15" s="2210" t="s">
        <v>442</v>
      </c>
      <c r="N15" s="302"/>
      <c r="O15" s="2275" t="s">
        <v>2244</v>
      </c>
      <c r="P15" s="2276"/>
      <c r="Q15" s="2276"/>
      <c r="R15" s="2276"/>
      <c r="S15" s="2276"/>
      <c r="T15" s="2276"/>
      <c r="U15" s="2277"/>
      <c r="V15" s="2278" t="s">
        <v>444</v>
      </c>
      <c r="W15" s="2281" t="s">
        <v>1163</v>
      </c>
      <c r="X15" s="2128"/>
      <c r="AD15" s="1156">
        <v>14</v>
      </c>
    </row>
    <row customHeight="1" ht="35.699999999999996">
      <c r="J16" s="377"/>
      <c r="K16" s="377"/>
      <c r="L16" s="2274"/>
      <c r="M16" s="2210"/>
      <c r="N16" s="1032"/>
      <c r="O16" s="2261" t="s">
        <v>447</v>
      </c>
      <c r="P16" s="2261" t="s">
        <v>448</v>
      </c>
      <c r="Q16" s="2263" t="s">
        <v>449</v>
      </c>
      <c r="R16" s="2264"/>
      <c r="S16" s="2263" t="s">
        <v>462</v>
      </c>
      <c r="T16" s="2270"/>
      <c r="U16" s="2264"/>
      <c r="V16" s="2279"/>
      <c r="W16" s="2282"/>
      <c r="X16" s="2128"/>
      <c r="AD16" s="1156">
        <v>34</v>
      </c>
    </row>
    <row customHeight="1" ht="35.699999999999996">
      <c r="A17" s="1371" t="s">
        <v>142</v>
      </c>
      <c r="B17" s="1371" t="s">
        <v>143</v>
      </c>
      <c r="C17" s="1371" t="s">
        <v>144</v>
      </c>
      <c r="D17" s="1371" t="s">
        <v>145</v>
      </c>
      <c r="E17" s="1371"/>
      <c r="J17" s="377"/>
      <c r="K17" s="377"/>
      <c r="L17" s="2274"/>
      <c r="M17" s="2210"/>
      <c r="N17" s="303"/>
      <c r="O17" s="2262"/>
      <c r="P17" s="2262"/>
      <c r="Q17" s="1223" t="s">
        <v>458</v>
      </c>
      <c r="R17" s="1223" t="s">
        <v>459</v>
      </c>
      <c r="S17" s="1293" t="s">
        <v>460</v>
      </c>
      <c r="T17" s="2271" t="s">
        <v>461</v>
      </c>
      <c r="U17" s="2272"/>
      <c r="V17" s="2280"/>
      <c r="W17" s="2283"/>
      <c r="X17" s="2128"/>
      <c r="AD17" s="1156">
        <v>34</v>
      </c>
    </row>
    <row s="1642" customFormat="1" customHeight="1" ht="11.549999999999999">
      <c r="A18" s="1371"/>
      <c r="B18" s="1371"/>
      <c r="C18" s="1371"/>
      <c r="D18" s="1371"/>
      <c r="E18" s="1371"/>
      <c r="F18" s="1363"/>
      <c r="G18" s="1363"/>
      <c r="H18" s="1363"/>
      <c r="I18" s="1247"/>
      <c r="J18" s="1248"/>
      <c r="K18" s="1255">
        <v>1</v>
      </c>
      <c r="L18" s="1278" t="s">
        <v>118</v>
      </c>
      <c r="M18" s="1256" t="s">
        <v>103</v>
      </c>
      <c r="N18" s="1246" t="str">
        <f>OFFSET(N18,0,-1)</f>
        <v>2</v>
      </c>
      <c r="O18" s="1290">
        <f>OFFSET(O18,0,-1)+1</f>
        <v>3</v>
      </c>
      <c r="P18" s="1290"/>
      <c r="Q18" s="1290">
        <f>OFFSET(Q18,0,-1)+1</f>
        <v>1</v>
      </c>
      <c r="R18" s="1290">
        <f>OFFSET(R18,0,-1)+1</f>
        <v>2</v>
      </c>
      <c r="S18" s="1290">
        <f>OFFSET(S18,0,-1)+1</f>
        <v>3</v>
      </c>
      <c r="T18" s="2273">
        <f>OFFSET(T18,0,-1)+1</f>
        <v>4</v>
      </c>
      <c r="U18" s="2273"/>
      <c r="V18" s="1290">
        <f>OFFSET(V18,0,-2)+1</f>
        <v>5</v>
      </c>
      <c r="W18" s="1246">
        <f>OFFSET(W18,0,-1)</f>
        <v>5</v>
      </c>
      <c r="X18" s="1290">
        <f>OFFSET(X18,0,-1)+1</f>
        <v>6</v>
      </c>
      <c r="Y18" s="512"/>
      <c r="Z18" s="512"/>
      <c r="AA18" s="512"/>
      <c r="AB18" s="512"/>
      <c r="AC18" s="512"/>
      <c r="AD18" s="497">
        <v>11</v>
      </c>
    </row>
    <row customHeight="1" ht="21">
      <c r="A19" s="1364" t="s">
        <v>187</v>
      </c>
      <c r="B19" s="1364" t="s">
        <v>188</v>
      </c>
      <c r="C19" s="1364" t="s">
        <v>189</v>
      </c>
      <c r="D19" s="1364" t="s">
        <v>190</v>
      </c>
      <c r="E19" s="1364"/>
      <c r="F19" s="1366"/>
      <c r="G19" s="1366"/>
      <c r="H19" s="1366"/>
      <c r="I19" s="362"/>
      <c r="J19" s="361"/>
      <c r="K19" s="356"/>
      <c r="L19" s="1294">
        <f>INDEX(PT_DIFFERENTIATION_NUM_NTAR,MATCH(A19,PT_DIFFERENTIATION_NTAR_ID,0))</f>
        <v>0</v>
      </c>
      <c r="M19" s="299" t="s">
        <v>131</v>
      </c>
      <c r="N19" s="301"/>
      <c r="O19" s="2607" t="str">
        <f>INDEX(PT_DIFFERENTIATION_NTAR,MATCH(A19,PT_DIFFERENTIATION_NTAR_ID,0))</f>
        <v/>
      </c>
      <c r="P19" s="2607"/>
      <c r="Q19" s="2607"/>
      <c r="R19" s="2607"/>
      <c r="S19" s="2607"/>
      <c r="T19" s="2607"/>
      <c r="U19" s="2607"/>
      <c r="V19" s="2607"/>
      <c r="W19" s="2607"/>
      <c r="X19" s="1259" t="s">
        <v>413</v>
      </c>
      <c r="Z19" s="501"/>
      <c r="AA19" s="501" t="str">
        <f>IF(M19="","",M19)</f>
        <v>Наименование тарифа</v>
      </c>
      <c r="AB19" s="501"/>
      <c r="AC19" s="501"/>
      <c r="AD19" s="1156">
        <v>20</v>
      </c>
    </row>
    <row customHeight="1" ht="21">
      <c r="A20" s="1364" t="s">
        <v>187</v>
      </c>
      <c r="B20" s="1364" t="s">
        <v>188</v>
      </c>
      <c r="C20" s="1364" t="s">
        <v>189</v>
      </c>
      <c r="D20" s="1364" t="s">
        <v>190</v>
      </c>
      <c r="E20" s="1364"/>
      <c r="F20" s="1366"/>
      <c r="G20" s="1366"/>
      <c r="H20" s="1366"/>
      <c r="I20" s="1291"/>
      <c r="J20" s="353"/>
      <c r="K20" s="354"/>
      <c r="L20" s="1294" t="str">
        <f>INDEX(PT_DIFFERENTIATION_NUM_TER,MATCH(B19,PT_DIFFERENTIATION_TER_ID,0))</f>
        <v>.</v>
      </c>
      <c r="M20" s="309" t="s">
        <v>414</v>
      </c>
      <c r="N20" s="301"/>
      <c r="O20" s="2607" t="str">
        <f>INDEX(PT_DIFFERENTIATION_TER,MATCH(B19,PT_DIFFERENTIATION_TER_ID,0))</f>
        <v/>
      </c>
      <c r="P20" s="2607"/>
      <c r="Q20" s="2607"/>
      <c r="R20" s="2607"/>
      <c r="S20" s="2607"/>
      <c r="T20" s="2607"/>
      <c r="U20" s="2607"/>
      <c r="V20" s="2607"/>
      <c r="W20" s="2607"/>
      <c r="X20" s="1259" t="s">
        <v>415</v>
      </c>
      <c r="Z20" s="501"/>
      <c r="AA20" s="501" t="str">
        <f>IF(M20="","",M20)</f>
        <v>Территория действия тарифа</v>
      </c>
      <c r="AB20" s="501"/>
      <c r="AC20" s="501"/>
      <c r="AD20" s="1156">
        <v>20</v>
      </c>
    </row>
    <row customHeight="1" ht="24">
      <c r="A21" s="1364" t="s">
        <v>187</v>
      </c>
      <c r="B21" s="1364" t="s">
        <v>188</v>
      </c>
      <c r="C21" s="1364" t="s">
        <v>189</v>
      </c>
      <c r="D21" s="1364" t="s">
        <v>190</v>
      </c>
      <c r="E21" s="1364"/>
      <c r="F21" s="1366"/>
      <c r="G21" s="1366"/>
      <c r="H21" s="1366"/>
      <c r="I21" s="355"/>
      <c r="J21" s="353"/>
      <c r="K21" s="354"/>
      <c r="L21" s="1294" t="str">
        <f>INDEX(PT_DIFFERENTIATION_NUM_CS,MATCH(C19,PT_DIFFERENTIATION_CS_ID,0))</f>
        <v>..</v>
      </c>
      <c r="M21" s="310" t="s">
        <v>416</v>
      </c>
      <c r="N21" s="301"/>
      <c r="O21" s="2607" t="str">
        <f>INDEX(PT_DIFFERENTIATION_CS,MATCH(C19,PT_DIFFERENTIATION_CS_ID,0))</f>
        <v/>
      </c>
      <c r="P21" s="2607"/>
      <c r="Q21" s="2607"/>
      <c r="R21" s="2607"/>
      <c r="S21" s="2607"/>
      <c r="T21" s="2607"/>
      <c r="U21" s="2607"/>
      <c r="V21" s="2607"/>
      <c r="W21" s="2607"/>
      <c r="X21" s="1259" t="s">
        <v>417</v>
      </c>
      <c r="Z21" s="501"/>
      <c r="AA21" s="501" t="str">
        <f>IF(M21="","",M21)</f>
        <v>Наименование системы теплоснабжения </v>
      </c>
      <c r="AB21" s="501"/>
      <c r="AC21" s="501"/>
      <c r="AD21" s="1156">
        <v>23</v>
      </c>
    </row>
    <row customHeight="1" ht="21">
      <c r="A22" s="1364" t="s">
        <v>187</v>
      </c>
      <c r="B22" s="1364" t="s">
        <v>188</v>
      </c>
      <c r="C22" s="1364" t="s">
        <v>189</v>
      </c>
      <c r="D22" s="1364" t="s">
        <v>190</v>
      </c>
      <c r="E22" s="1364"/>
      <c r="F22" s="1366"/>
      <c r="G22" s="1366"/>
      <c r="H22" s="1366"/>
      <c r="I22" s="355"/>
      <c r="J22" s="353"/>
      <c r="K22" s="354"/>
      <c r="L22" s="1294" t="str">
        <f>INDEX(PT_DIFFERENTIATION_NUM_IST_TE,MATCH(D19,PT_DIFFERENTIATION_IST_TE_ID,0))</f>
        <v>...</v>
      </c>
      <c r="M22" s="311" t="s">
        <v>418</v>
      </c>
      <c r="N22" s="301"/>
      <c r="O22" s="2607" t="str">
        <f>INDEX(PT_DIFFERENTIATION_IST_TE,MATCH(D19,PT_DIFFERENTIATION_IST_TE_ID,0))</f>
        <v/>
      </c>
      <c r="P22" s="2607"/>
      <c r="Q22" s="2607"/>
      <c r="R22" s="2607"/>
      <c r="S22" s="2607"/>
      <c r="T22" s="2607"/>
      <c r="U22" s="2607"/>
      <c r="V22" s="2607"/>
      <c r="W22" s="2607"/>
      <c r="X22" s="1259" t="s">
        <v>419</v>
      </c>
      <c r="Z22" s="501"/>
      <c r="AA22" s="501" t="str">
        <f>IF(M22="","",M22)</f>
        <v>Источник тепловой энергии  </v>
      </c>
      <c r="AB22" s="501"/>
      <c r="AC22" s="501"/>
      <c r="AD22" s="1156">
        <v>20</v>
      </c>
    </row>
    <row customHeight="1" ht="96.75">
      <c r="A23" s="1364" t="s">
        <v>187</v>
      </c>
      <c r="B23" s="1364" t="s">
        <v>188</v>
      </c>
      <c r="C23" s="1364" t="s">
        <v>189</v>
      </c>
      <c r="D23" s="1364" t="s">
        <v>190</v>
      </c>
      <c r="E23" s="1364"/>
      <c r="F23" s="2608" t="str">
        <f>L22&amp;".1"</f>
        <v>....1</v>
      </c>
      <c r="I23" s="2258">
        <v>1</v>
      </c>
      <c r="J23" s="1292"/>
      <c r="K23" s="357"/>
      <c r="L23" s="1294" t="str">
        <f>$F$23</f>
        <v>....1</v>
      </c>
      <c r="M23" s="286" t="s">
        <v>421</v>
      </c>
      <c r="N23" s="301"/>
      <c r="O23" s="2306"/>
      <c r="P23" s="2306"/>
      <c r="Q23" s="2306"/>
      <c r="R23" s="2306"/>
      <c r="S23" s="2306"/>
      <c r="T23" s="2306"/>
      <c r="U23" s="2306"/>
      <c r="V23" s="2306"/>
      <c r="W23" s="2306"/>
      <c r="X23" s="1259" t="s">
        <v>422</v>
      </c>
      <c r="Z23" s="501"/>
      <c r="AA23" s="501" t="str">
        <f>IF(M23="","",M23)</f>
        <v>Схема подключения теплопотребляющей установки к коллектору источника тепловой энергии</v>
      </c>
      <c r="AB23" s="501"/>
      <c r="AC23" s="501"/>
      <c r="AD23" s="1156">
        <v>92</v>
      </c>
    </row>
    <row customHeight="1" ht="86.25">
      <c r="A24" s="1364" t="s">
        <v>187</v>
      </c>
      <c r="B24" s="1364" t="s">
        <v>188</v>
      </c>
      <c r="C24" s="1364" t="s">
        <v>189</v>
      </c>
      <c r="D24" s="1364" t="s">
        <v>190</v>
      </c>
      <c r="E24" s="1364"/>
      <c r="F24" s="2608"/>
      <c r="G24" s="2218" t="str">
        <f>F23&amp;".1"</f>
        <v>....1.1</v>
      </c>
      <c r="I24" s="2258"/>
      <c r="J24" s="2258">
        <v>1</v>
      </c>
      <c r="K24" s="358"/>
      <c r="L24" s="1294" t="str">
        <f>$G$24</f>
        <v>....1.1</v>
      </c>
      <c r="M24" s="287" t="s">
        <v>424</v>
      </c>
      <c r="N24" s="301"/>
      <c r="O24" s="2246"/>
      <c r="P24" s="2247"/>
      <c r="Q24" s="2247"/>
      <c r="R24" s="2247"/>
      <c r="S24" s="2247"/>
      <c r="T24" s="2247"/>
      <c r="U24" s="2247"/>
      <c r="V24" s="2247"/>
      <c r="W24" s="2248"/>
      <c r="X24" s="1259" t="s">
        <v>425</v>
      </c>
      <c r="Z24" s="501"/>
      <c r="AA24" s="501" t="str">
        <f>IF(M24="","",M24)</f>
        <v>Группа потребителей</v>
      </c>
      <c r="AB24" s="501"/>
      <c r="AC24" s="501"/>
      <c r="AD24" s="1156">
        <v>82</v>
      </c>
    </row>
    <row customHeight="1" ht="11.549999999999999">
      <c r="A25" s="1364" t="s">
        <v>187</v>
      </c>
      <c r="B25" s="1364" t="s">
        <v>188</v>
      </c>
      <c r="C25" s="1364" t="s">
        <v>189</v>
      </c>
      <c r="D25" s="1364" t="s">
        <v>190</v>
      </c>
      <c r="E25" s="1364"/>
      <c r="F25" s="2608"/>
      <c r="G25" s="2218"/>
      <c r="H25" s="2218" t="str">
        <f>G24&amp;".1"</f>
        <v>....1.1.1</v>
      </c>
      <c r="I25" s="2258"/>
      <c r="J25" s="2258"/>
      <c r="K25" s="358">
        <v>1</v>
      </c>
      <c r="L25" s="1294" t="str">
        <f>$H$25</f>
        <v>....1.1.1</v>
      </c>
      <c r="M25" s="1348"/>
      <c r="N25" s="301"/>
      <c r="O25" s="752"/>
      <c r="P25" s="326"/>
      <c r="Q25" s="752"/>
      <c r="R25" s="1258"/>
      <c r="S25" s="2603"/>
      <c r="T25" s="2108" t="s">
        <v>61</v>
      </c>
      <c r="U25" s="2603"/>
      <c r="V25" s="2108" t="s">
        <v>19</v>
      </c>
      <c r="W25" s="326"/>
      <c r="X25" s="2254" t="s">
        <v>427</v>
      </c>
      <c r="Y25" s="512">
        <f>STRCHECKDATE(O26:W26)</f>
      </c>
      <c r="Z25" s="501"/>
      <c r="AA25" s="501" t="str">
        <f>IF(M25="","",M25)</f>
        <v/>
      </c>
      <c r="AB25" s="501"/>
      <c r="AC25" s="501"/>
      <c r="AD25" s="1156">
        <v>11</v>
      </c>
    </row>
    <row customHeight="1" ht="11.549999999999999">
      <c r="A26" s="1364" t="s">
        <v>187</v>
      </c>
      <c r="B26" s="1364" t="s">
        <v>188</v>
      </c>
      <c r="C26" s="1364" t="s">
        <v>189</v>
      </c>
      <c r="D26" s="1364" t="s">
        <v>190</v>
      </c>
      <c r="E26" s="1364"/>
      <c r="F26" s="2608"/>
      <c r="G26" s="2218"/>
      <c r="H26" s="2218"/>
      <c r="I26" s="2258"/>
      <c r="J26" s="2258"/>
      <c r="K26" s="358"/>
      <c r="L26" s="1295"/>
      <c r="M26" s="301"/>
      <c r="N26" s="301"/>
      <c r="O26" s="326"/>
      <c r="P26" s="326"/>
      <c r="Q26" s="326"/>
      <c r="R26" s="329" t="str">
        <f>S25&amp;"-"&amp;U25</f>
        <v>-</v>
      </c>
      <c r="S26" s="2267"/>
      <c r="T26" s="2108"/>
      <c r="U26" s="2267"/>
      <c r="V26" s="2108"/>
      <c r="W26" s="326"/>
      <c r="X26" s="2255"/>
      <c r="Z26" s="501"/>
      <c r="AA26" s="501" t="str">
        <f>IF(M26="","",M26)</f>
        <v/>
      </c>
      <c r="AB26" s="501"/>
      <c r="AC26" s="501"/>
      <c r="AD26" s="1156">
        <v>11</v>
      </c>
    </row>
    <row customHeight="1" ht="15.75">
      <c r="A27" s="1364" t="s">
        <v>187</v>
      </c>
      <c r="B27" s="1364" t="s">
        <v>188</v>
      </c>
      <c r="C27" s="1364" t="s">
        <v>189</v>
      </c>
      <c r="D27" s="1364" t="s">
        <v>190</v>
      </c>
      <c r="E27" s="1364"/>
      <c r="F27" s="2608"/>
      <c r="G27" s="2218"/>
      <c r="I27" s="2258"/>
      <c r="J27" s="2258"/>
      <c r="K27" s="357"/>
      <c r="L27" s="1279"/>
      <c r="M27" s="289" t="s">
        <v>428</v>
      </c>
      <c r="N27" s="368"/>
      <c r="O27" s="368"/>
      <c r="P27" s="368"/>
      <c r="Q27" s="368"/>
      <c r="R27" s="368"/>
      <c r="S27" s="368"/>
      <c r="T27" s="368"/>
      <c r="U27" s="368"/>
      <c r="V27" s="368"/>
      <c r="W27" s="325"/>
      <c r="X27" s="2256"/>
      <c r="Z27" s="501"/>
      <c r="AA27" s="501" t="str">
        <f>IF(M27="","",M27)</f>
        <v>Добавить вид теплоносителя (параметры теплоносителя)</v>
      </c>
      <c r="AB27" s="501"/>
      <c r="AC27" s="501"/>
      <c r="AD27" s="1156">
        <v>15</v>
      </c>
    </row>
    <row customHeight="1" ht="15.75">
      <c r="A28" s="1364" t="s">
        <v>187</v>
      </c>
      <c r="B28" s="1364" t="s">
        <v>188</v>
      </c>
      <c r="C28" s="1364" t="s">
        <v>189</v>
      </c>
      <c r="D28" s="1364" t="s">
        <v>190</v>
      </c>
      <c r="E28" s="1364"/>
      <c r="F28" s="2608"/>
      <c r="I28" s="2258"/>
      <c r="J28" s="1292"/>
      <c r="K28" s="357"/>
      <c r="L28" s="1279"/>
      <c r="M28" s="288" t="s">
        <v>429</v>
      </c>
      <c r="N28" s="368"/>
      <c r="O28" s="368"/>
      <c r="P28" s="368"/>
      <c r="Q28" s="368"/>
      <c r="R28" s="368"/>
      <c r="S28" s="368"/>
      <c r="T28" s="368"/>
      <c r="U28" s="368"/>
      <c r="V28" s="367"/>
      <c r="W28" s="368"/>
      <c r="X28" s="304"/>
      <c r="Z28" s="501"/>
      <c r="AA28" s="501" t="str">
        <f>IF(M28="","",M28)</f>
        <v>Добавить группу потребителей</v>
      </c>
      <c r="AB28" s="501"/>
      <c r="AC28" s="501"/>
      <c r="AD28" s="1156">
        <v>15</v>
      </c>
    </row>
    <row customHeight="1" ht="14.699999999999998">
      <c r="A29" s="1364" t="s">
        <v>187</v>
      </c>
      <c r="B29" s="1364" t="s">
        <v>188</v>
      </c>
      <c r="C29" s="1364" t="s">
        <v>189</v>
      </c>
      <c r="D29" s="1364" t="s">
        <v>190</v>
      </c>
      <c r="E29" s="1364"/>
      <c r="F29" s="1366"/>
      <c r="G29" s="1366"/>
      <c r="H29" s="538"/>
      <c r="I29" s="361"/>
      <c r="J29" s="376"/>
      <c r="K29" s="356"/>
      <c r="L29" s="1279"/>
      <c r="M29" s="366" t="s">
        <v>430</v>
      </c>
      <c r="N29" s="368"/>
      <c r="O29" s="368"/>
      <c r="P29" s="368"/>
      <c r="Q29" s="368"/>
      <c r="R29" s="368"/>
      <c r="S29" s="368"/>
      <c r="T29" s="368"/>
      <c r="U29" s="368"/>
      <c r="V29" s="367"/>
      <c r="W29" s="368"/>
      <c r="X29" s="304"/>
      <c r="Z29" s="501"/>
      <c r="AA29" s="501" t="str">
        <f>IF(M29="","",M29)</f>
        <v>Добавить схему подключения</v>
      </c>
      <c r="AB29" s="501"/>
      <c r="AC29" s="501"/>
      <c r="AD29" s="1156">
        <v>14</v>
      </c>
    </row>
    <row customHeight="1" ht="14.699999999999998">
      <c r="A30" s="1364" t="s">
        <v>187</v>
      </c>
      <c r="B30" s="1364" t="s">
        <v>188</v>
      </c>
      <c r="C30" s="1364" t="s">
        <v>189</v>
      </c>
      <c r="D30" s="1364"/>
      <c r="E30" s="1364" t="s">
        <v>605</v>
      </c>
      <c r="F30" s="1366"/>
      <c r="G30" s="1366"/>
      <c r="H30" s="538"/>
      <c r="I30" s="361"/>
      <c r="J30" s="376"/>
      <c r="K30" s="356"/>
      <c r="L30" s="1280"/>
      <c r="M30" s="1269"/>
      <c r="N30" s="1270"/>
      <c r="O30" s="1270"/>
      <c r="P30" s="1270"/>
      <c r="Q30" s="1270"/>
      <c r="R30" s="1270"/>
      <c r="S30" s="1270"/>
      <c r="T30" s="1270"/>
      <c r="U30" s="1270"/>
      <c r="V30" s="1271"/>
      <c r="W30" s="1270"/>
      <c r="X30" s="1272"/>
      <c r="Z30" s="501"/>
      <c r="AA30" s="501" t="str">
        <f>IF(M30="","",M30)</f>
        <v/>
      </c>
      <c r="AB30" s="501"/>
      <c r="AC30" s="501"/>
      <c r="AD30" s="1156">
        <v>14</v>
      </c>
    </row>
    <row customHeight="1" ht="14.699999999999998">
      <c r="A31" s="1364" t="s">
        <v>187</v>
      </c>
      <c r="B31" s="1364" t="s">
        <v>188</v>
      </c>
      <c r="C31" s="1364"/>
      <c r="D31" s="1364"/>
      <c r="E31" s="1364" t="s">
        <v>2245</v>
      </c>
      <c r="F31" s="1518"/>
      <c r="G31" s="1518"/>
      <c r="H31" s="538"/>
      <c r="I31" s="359"/>
      <c r="J31" s="376"/>
      <c r="K31" s="360"/>
      <c r="L31" s="1280"/>
      <c r="M31" s="1273"/>
      <c r="N31" s="1270"/>
      <c r="O31" s="1270"/>
      <c r="P31" s="1270"/>
      <c r="Q31" s="1270"/>
      <c r="R31" s="1270"/>
      <c r="S31" s="1270"/>
      <c r="T31" s="1270"/>
      <c r="U31" s="1270"/>
      <c r="V31" s="1271"/>
      <c r="W31" s="1270"/>
      <c r="X31" s="1272"/>
      <c r="Z31" s="501"/>
      <c r="AA31" s="501" t="str">
        <f>IF(M31="","",M31)</f>
        <v/>
      </c>
      <c r="AB31" s="501"/>
      <c r="AC31" s="501"/>
      <c r="AD31" s="1156">
        <v>14</v>
      </c>
    </row>
    <row customHeight="1" ht="14.699999999999998">
      <c r="A32" s="1364" t="s">
        <v>2246</v>
      </c>
      <c r="B32" s="1364"/>
      <c r="C32" s="1364"/>
      <c r="D32" s="1364"/>
      <c r="E32" s="1364" t="s">
        <v>113</v>
      </c>
      <c r="F32" s="1518"/>
      <c r="G32" s="1518"/>
      <c r="H32" s="538"/>
      <c r="I32" s="361"/>
      <c r="J32" s="376"/>
      <c r="K32" s="356"/>
      <c r="L32" s="1280"/>
      <c r="M32" s="1274"/>
      <c r="N32" s="1270"/>
      <c r="O32" s="1270"/>
      <c r="P32" s="1270"/>
      <c r="Q32" s="1270"/>
      <c r="R32" s="1270"/>
      <c r="S32" s="1270"/>
      <c r="T32" s="1270"/>
      <c r="U32" s="1270"/>
      <c r="V32" s="1271"/>
      <c r="W32" s="1270"/>
      <c r="X32" s="1272"/>
      <c r="Z32" s="501"/>
      <c r="AA32" s="501" t="str">
        <f>IF(M32="","",M32)</f>
        <v/>
      </c>
      <c r="AB32" s="501"/>
      <c r="AC32" s="501"/>
      <c r="AD32" s="1156">
        <v>14</v>
      </c>
    </row>
    <row s="1851" customFormat="1" customHeight="1" ht="11.549999999999999">
      <c r="A33" s="1364"/>
      <c r="B33" s="1364"/>
      <c r="C33" s="1364"/>
      <c r="D33" s="1364"/>
      <c r="E33" s="1364" t="s">
        <v>184</v>
      </c>
      <c r="F33" s="1519"/>
      <c r="G33" s="1520"/>
      <c r="H33" s="538"/>
      <c r="L33" s="1281"/>
      <c r="M33" s="1275"/>
      <c r="N33" s="1270"/>
      <c r="O33" s="1270"/>
      <c r="P33" s="1270"/>
      <c r="Q33" s="1270"/>
      <c r="R33" s="1270"/>
      <c r="S33" s="1270"/>
      <c r="T33" s="1270"/>
      <c r="U33" s="1270"/>
      <c r="V33" s="1271"/>
      <c r="W33" s="1270"/>
      <c r="X33" s="1272"/>
      <c r="Y33" s="380"/>
      <c r="Z33" s="380"/>
      <c r="AA33" s="380"/>
      <c r="AB33" s="380"/>
      <c r="AC33" s="380"/>
      <c r="AD33" s="374">
        <v>11</v>
      </c>
    </row>
    <row customHeight="1" ht="11.549999999999999">
      <c r="F34" s="1161"/>
      <c r="G34" s="1161"/>
      <c r="H34" s="538"/>
      <c r="I34" s="1156"/>
      <c r="J34" s="1156"/>
      <c r="K34" s="1156"/>
      <c r="Y34" s="1156"/>
      <c r="Z34" s="1156"/>
      <c r="AA34" s="1156"/>
      <c r="AB34" s="1156"/>
      <c r="AC34" s="1156"/>
      <c r="AD34" s="1156">
        <v>11</v>
      </c>
    </row>
    <row customHeight="1" ht="28.5">
      <c r="H35" s="538"/>
      <c r="L35" s="1289" t="s">
        <v>822</v>
      </c>
      <c r="M35" s="2286" t="s">
        <v>2247</v>
      </c>
      <c r="N35" s="2286"/>
      <c r="O35" s="2286"/>
      <c r="P35" s="2286"/>
      <c r="Q35" s="2286"/>
      <c r="R35" s="2286"/>
      <c r="S35" s="2286"/>
      <c r="T35" s="2286"/>
      <c r="U35" s="2286"/>
      <c r="V35" s="2286"/>
      <c r="W35" s="2286"/>
      <c r="X35" s="2286"/>
      <c r="AD35" s="1156">
        <v>27</v>
      </c>
    </row>
    <row customHeight="1" ht="109.19999999999999">
      <c r="H36" s="538"/>
      <c r="I36" s="1304"/>
      <c r="M36" s="2286" t="s">
        <v>2248</v>
      </c>
      <c r="N36" s="2286"/>
      <c r="O36" s="2286"/>
      <c r="P36" s="2286"/>
      <c r="Q36" s="2286"/>
      <c r="R36" s="2286"/>
      <c r="S36" s="2286"/>
      <c r="T36" s="2286"/>
      <c r="U36" s="2286"/>
      <c r="V36" s="2286"/>
      <c r="W36" s="2286"/>
      <c r="X36" s="2286"/>
      <c r="AD36" s="1156">
        <v>104</v>
      </c>
    </row>
    <row customHeight="1" ht="14.699999999999998">
      <c r="H37" s="538"/>
      <c r="AD37" s="1156">
        <v>14</v>
      </c>
    </row>
    <row customHeight="1" ht="14.699999999999998">
      <c r="H38" s="538"/>
      <c r="AD38" s="1156">
        <v>14</v>
      </c>
    </row>
    <row customHeight="1" ht="14.699999999999998">
      <c r="H39" s="538"/>
      <c r="AD39" s="1156">
        <v>14</v>
      </c>
    </row>
    <row customHeight="1" ht="14.699999999999998">
      <c r="H40" s="538"/>
      <c r="AD40" s="1156">
        <v>14</v>
      </c>
    </row>
    <row customHeight="1" ht="22.5" hidden="1">
      <c r="A41" s="1161" t="s">
        <v>83</v>
      </c>
      <c r="B41" s="1161">
        <v>0</v>
      </c>
      <c r="C41" s="1161">
        <v>0</v>
      </c>
      <c r="D41" s="1161">
        <v>0</v>
      </c>
      <c r="E41" s="1161">
        <v>0</v>
      </c>
      <c r="F41" s="1363">
        <v>0</v>
      </c>
      <c r="G41" s="1363">
        <v>0</v>
      </c>
      <c r="H41" s="1363">
        <v>0</v>
      </c>
      <c r="I41" s="1287">
        <v>3</v>
      </c>
      <c r="J41" s="345">
        <v>3</v>
      </c>
      <c r="K41" s="345">
        <v>3</v>
      </c>
      <c r="L41" s="582">
        <v>12</v>
      </c>
      <c r="M41" s="1156">
        <v>31</v>
      </c>
      <c r="N41" s="1156">
        <v>1</v>
      </c>
      <c r="O41" s="1156">
        <v>24</v>
      </c>
      <c r="P41" s="1156">
        <v>24</v>
      </c>
      <c r="Q41" s="1156">
        <v>24</v>
      </c>
      <c r="R41" s="1156">
        <v>24</v>
      </c>
      <c r="S41" s="1156">
        <v>11</v>
      </c>
      <c r="T41" s="1156">
        <v>3</v>
      </c>
      <c r="U41" s="1156">
        <v>11</v>
      </c>
      <c r="V41" s="1156">
        <v>8</v>
      </c>
      <c r="W41" s="1156">
        <v>4</v>
      </c>
      <c r="X41" s="1156">
        <v>115</v>
      </c>
      <c r="Y41" s="512">
        <v>10</v>
      </c>
      <c r="Z41" s="512">
        <v>10</v>
      </c>
      <c r="AA41" s="512">
        <v>10</v>
      </c>
      <c r="AB41" s="512">
        <v>10</v>
      </c>
      <c r="AC41" s="512">
        <v>10</v>
      </c>
      <c r="AD41" s="1156">
        <v>23</v>
      </c>
    </row>
  </sheetData>
  <sheetProtection formatColumns="0" formatRows="0" autoFilter="0" sort="0" insertRows="0" insertColumns="1" deleteRows="0" deleteColumns="0"/>
  <mergeCells count="39">
    <mergeCell ref="O19:W19"/>
    <mergeCell ref="O20:W20"/>
    <mergeCell ref="O21:W21"/>
    <mergeCell ref="O22:W22"/>
    <mergeCell ref="F23:F28"/>
    <mergeCell ref="I23:I28"/>
    <mergeCell ref="O23:W23"/>
    <mergeCell ref="G24:G27"/>
    <mergeCell ref="J24:J27"/>
    <mergeCell ref="O24:W24"/>
    <mergeCell ref="O11:U11"/>
    <mergeCell ref="L12:M12"/>
    <mergeCell ref="O13:V13"/>
    <mergeCell ref="L14:W14"/>
    <mergeCell ref="T18:U18"/>
    <mergeCell ref="L5:U5"/>
    <mergeCell ref="L6:U6"/>
    <mergeCell ref="O8:U8"/>
    <mergeCell ref="O9:U9"/>
    <mergeCell ref="O10:U10"/>
    <mergeCell ref="X14:X17"/>
    <mergeCell ref="L15:L17"/>
    <mergeCell ref="M15:M17"/>
    <mergeCell ref="O15:U15"/>
    <mergeCell ref="V15:V17"/>
    <mergeCell ref="W15:W17"/>
    <mergeCell ref="O16:O17"/>
    <mergeCell ref="P16:P17"/>
    <mergeCell ref="Q16:R16"/>
    <mergeCell ref="S16:U16"/>
    <mergeCell ref="T17:U17"/>
    <mergeCell ref="X25:X27"/>
    <mergeCell ref="M35:X35"/>
    <mergeCell ref="M36:X36"/>
    <mergeCell ref="H25:H26"/>
    <mergeCell ref="S25:S26"/>
    <mergeCell ref="T25:T26"/>
    <mergeCell ref="U25:U26"/>
    <mergeCell ref="V25:V26"/>
  </mergeCells>
  <dataValidations count="8">
    <dataValidation allowBlank="1" sqref="L131099:X131105 L196635:X196641 L262171:X262177 L327707:X327713 L393243:X393249 L458779:X458785 L524315:X524321 L589851:X589857 L655387:X655393 L720923:X720929 L786459:X786465 L851995:X852001 L917531:X917537 L983067:X983073 L65563:X65569"/>
    <dataValidation allowBlank="1" promptTitle="checkPeriodRange" sqref="R26 R65562 R131098 R196634 R262170 R327706 R393242 R458778 R524314 R589850 R655386 R720922 R786458 R851994 R917530 R983066"/>
    <dataValidation allowBlank="1" showInputMessage="1" showErrorMessage="1" prompt="Для выбора выполните двойной щелчок левой клавиши мыши по соответствующей ячейке." sqref="T65561 T131097 T196633 T262169 T327705 T393241 T458777 T524313 T589849 T655385 T720921 T786457 T851993 T917529 T983065 V589849 V655385 V720921 V786457 V851993 V917529 V983065 V65561 V131097 V458777 V196633 V262169 V327705 V393241 V25 T25 V524313"/>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S65561 S131097 S196633 S262169 S327705 S393241 S458777 S524313 S589849 S655385 S720921 S786457 S851993 S917529 S983065 U65561 U131097 U196633 U262169 U327705 U393241 U458777 U524313 U589849 U655385 U720921 U786457 U851993 U917529 U983065 U25 S25"/>
    <dataValidation type="list" allowBlank="1" showInputMessage="1" showErrorMessage="1" errorTitle="Ошибка" error="Выберите значение из списка" sqref="M65561 M131097 M196633 M262169 M327705 M393241 M458777 M524313 M589849 M655385 M720921 M786457 M851993 M917529 M983065">
      <formula1>kind_of_heat_transfer</formula1>
    </dataValidation>
    <dataValidation type="list" allowBlank="1" showInputMessage="1" errorTitle="Ошибка" error="Выберите значение из списка" prompt="Выберите значение из списка" sqref="O983064:W983064 O65560:W65560 O131096:W131096 O196632:W196632 O262168:W262168 O327704:W327704 O393240:W393240 O458776:W458776 O524312:W524312 O589848:W589848 O655384:W655384 O720920:W720920 O786456:W786456 O851992:W851992 O917528:W917528">
      <formula1>kind_of_cons</formula1>
    </dataValidation>
    <dataValidation type="textLength" operator="lessThanOrEqual" allowBlank="1" showInputMessage="1" showErrorMessage="1" errorTitle="Ошибка" error="Допускается ввод не более 900 символов!" sqref="X65555:X65562 X131091:X131098 X196627:X196634 X262163:X262170 X327699:X327706 X393235:X393242 X458771:X458778 X524307:X524314 X589843:X589850 X655379:X655386 X720915:X720922 X786451:X786458 X851987:X851994 X917523:X917530 X983059:X983066">
      <formula1>900</formula1>
    </dataValidation>
    <dataValidation type="list" allowBlank="1" showInputMessage="1" showErrorMessage="1" errorTitle="Ошибка" error="Выберите значение из списка" sqref="O983063:P983063 O65559:P65559 O131095:P131095 O196631:P196631 O262167:P262167 O327703:P327703 O393239:P393239 O458775:P458775 O524311:P524311 O589847:P589847 O655383:P655383 O720919:P720919 O786455:P786455 O851991:P851991 O917527:P917527">
      <formula1>kind_of_scheme_in</formula1>
    </dataValidation>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6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4308B8F8-0C35-A609-E428-F802E98E2718}" mc:Ignorable="x14ac xr xr2 xr3">
  <sheetPr>
    <tabColor rgb="FFFFCC99"/>
  </sheetPr>
  <dimension ref="A1:A1"/>
  <sheetViews>
    <sheetView topLeftCell="A1" showGridLines="0" workbookViewId="0">
      <selection activeCell="A1" sqref="A1"/>
    </sheetView>
  </sheetViews>
  <sheetFormatPr customHeight="1" defaultRowHeight="11.25"/>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6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092D9636-D308-94E2-BB25-71814D4D46D8}" mc:Ignorable="x14ac xr xr2 xr3">
  <sheetPr>
    <tabColor rgb="FFFFCC99"/>
  </sheetPr>
  <dimension ref="A1:A1"/>
  <sheetViews>
    <sheetView topLeftCell="A1" showGridLines="0" workbookViewId="0">
      <selection activeCell="A1" sqref="A1"/>
    </sheetView>
  </sheetViews>
  <sheetFormatPr customHeight="1" defaultRowHeight="11.25"/>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6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127C953B-6B5F-990A-B338-9BF71A141998}" mc:Ignorable="x14ac xr xr2 xr3">
  <sheetPr>
    <tabColor rgb="FFFFCC99"/>
  </sheetPr>
  <dimension ref="A1:A1"/>
  <sheetViews>
    <sheetView topLeftCell="A1" showGridLines="0" workbookViewId="0">
      <selection activeCell="A1" sqref="A1"/>
    </sheetView>
  </sheetViews>
  <sheetFormatPr customHeight="1" defaultRowHeight="11.25"/>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6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E0544B17-CB97-1037-1498-10F4D9C3083B}" mc:Ignorable="x14ac xr xr2 xr3">
  <sheetPr>
    <tabColor rgb="FFFFCC99"/>
  </sheetPr>
  <dimension ref="A1:A1"/>
  <sheetViews>
    <sheetView topLeftCell="A1" showGridLines="0" workbookViewId="0">
      <selection activeCell="A1" sqref="A1"/>
    </sheetView>
  </sheetViews>
  <sheetFormatPr customHeight="1" defaultRowHeight="11.25"/>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6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ECAEA9ED-18FC-9558-1627-5AC716501F88}" mc:Ignorable="x14ac xr xr2 xr3">
  <sheetPr>
    <tabColor rgb="FFFFCC99"/>
  </sheetPr>
  <dimension ref="A1:A1"/>
  <sheetViews>
    <sheetView topLeftCell="A1" showGridLines="0" workbookViewId="0">
      <selection activeCell="A1" sqref="A1"/>
    </sheetView>
  </sheetViews>
  <sheetFormatPr customHeight="1" defaultRowHeight="11.25"/>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9995197A-BC08-4188-E452-998977C87264}" mc:Ignorable="x14ac xr xr2 xr3">
  <sheetPr>
    <tabColor theme="3" tint="0.6"/>
  </sheetPr>
  <dimension ref="A1:J60"/>
  <sheetViews>
    <sheetView showGridLines="0" zoomScale="90" workbookViewId="0">
      <pane xSplit="5" ySplit="12" topLeftCell="F13" activePane="bottomRight" state="frozen"/>
      <selection pane="bottomLeft" activeCell="A13" sqref="A13"/>
      <selection pane="topRight" activeCell="F1" sqref="F1"/>
      <selection pane="bottomRight" activeCell="A1" sqref="A1"/>
    </sheetView>
  </sheetViews>
  <sheetFormatPr defaultColWidth="9.140625" customHeight="1" defaultRowHeight="11.25"/>
  <cols>
    <col min="1" max="1" style="1687" width="15.00390625" hidden="1" customWidth="1"/>
    <col min="2" max="2" style="502" width="15.00390625" hidden="1" customWidth="1"/>
    <col min="3" max="3" style="456" width="3.00390625" customWidth="1"/>
    <col min="4" max="4" style="457" width="6.00390625" customWidth="1"/>
    <col min="5" max="5" style="456" width="52.00390625" customWidth="1"/>
    <col min="6" max="6" style="456" width="48.00390625" customWidth="1"/>
    <col min="7" max="7" style="456" width="121.00390625" customWidth="1"/>
    <col min="8" max="8" style="456" width="8.00390625" customWidth="1"/>
    <col min="9" max="9" style="456" width="64.00390625" customWidth="1"/>
    <col min="10" max="10" style="456" width="9.140625" hidden="1"/>
  </cols>
  <sheetData>
    <row customHeight="1" ht="11.25" hidden="1">
      <c r="A1" s="1687" t="s">
        <v>316</v>
      </c>
      <c r="J1" s="456" t="s">
        <v>14</v>
      </c>
    </row>
    <row customHeight="1" ht="11.25" hidden="1">
      <c r="J2" s="456">
        <v>0</v>
      </c>
    </row>
    <row s="478" customFormat="1" customHeight="1" ht="11.549999999999999">
      <c r="A3" s="1687"/>
      <c r="B3" s="502"/>
      <c r="D3" s="479"/>
      <c r="J3" s="478">
        <v>11</v>
      </c>
    </row>
    <row customHeight="1" ht="27.299999999999997">
      <c r="D4" s="2158" t="str">
        <f>ORG_INFO_NAME_FORM</f>
        <v>Форма 1. Информация о единых теплоснабжающих организациях в системе теплоснабжения, теплоснабжающих организациях, которым не присвоен статус единой теплоснабжающей организации, и теплосетевых организациях, функционирующих в поселениях и городских округах, не отнесенных к ценовым зонам теплоснабжения, и в поселениях и городских округах, отнесенных к ценовым зонам теплоснабжения в соответствии с Федеральным законом от 27 июля 2010 г. N 190-ФЗ "О теплоснабжении", до окончания переходного периода в ценовых зонах теплоснабжения (далее - регулируемые организации); о единых теплоснабжающих организациях, теплоснабжающих организациях, которым не присвоен статус единой теплоснабжающей организации, и теплосетевых организациях, функционирующих в поселениях и городских округах, отнесенных к ценовым зонам теплоснабжения в соответствии с Федеральным законом от 27 июля 2010 г. N 190-ФЗ "О теплоснабжении", после окончания переходного периода в ценовых зонах теплоснабжения (далее соответственно - единые теплоснабжающие организации в ценовых зонах теплоснабжения, теплоснабжающие организации в ценовых зонах теплоснабжения и теплосетевые организации в ценовых зонах теплоснабжения) (общая информация)</v>
      </c>
      <c r="E4" s="2159"/>
      <c r="F4" s="2160"/>
      <c r="I4" s="716"/>
      <c r="J4" s="456">
        <v>26</v>
      </c>
    </row>
    <row customHeight="1" ht="18">
      <c r="D5" s="2177" t="str">
        <f>IF(org=0,"Не определено",org)</f>
        <v>ПАО "КГК"</v>
      </c>
      <c r="E5" s="2177"/>
      <c r="F5" s="2177"/>
      <c r="I5" s="716"/>
      <c r="J5" s="456">
        <v>17</v>
      </c>
    </row>
    <row s="478" customFormat="1" customHeight="1" ht="11.549999999999999">
      <c r="A6" s="1687"/>
      <c r="B6" s="502"/>
      <c r="D6" s="715"/>
      <c r="E6" s="715"/>
      <c r="F6" s="753"/>
      <c r="G6" s="715"/>
      <c r="J6" s="478">
        <v>11</v>
      </c>
    </row>
    <row customHeight="1" ht="11.25" hidden="1">
      <c r="A7" s="458"/>
      <c r="B7" s="503"/>
      <c r="C7" s="458"/>
      <c r="D7" s="464"/>
      <c r="E7" s="2208"/>
      <c r="F7" s="2208"/>
      <c r="J7" s="456">
        <v>0</v>
      </c>
    </row>
    <row customHeight="1" ht="11.549999999999999">
      <c r="A8" s="458"/>
      <c r="B8" s="503"/>
      <c r="C8" s="458"/>
      <c r="D8" s="2205" t="s">
        <v>317</v>
      </c>
      <c r="E8" s="2206"/>
      <c r="F8" s="2206"/>
      <c r="G8" s="2209" t="s">
        <v>318</v>
      </c>
      <c r="J8" s="456">
        <v>11</v>
      </c>
    </row>
    <row customHeight="1" ht="11.549999999999999">
      <c r="A9" s="458"/>
      <c r="B9" s="503"/>
      <c r="C9" s="458"/>
      <c r="D9" s="473" t="s">
        <v>89</v>
      </c>
      <c r="E9" s="447" t="s">
        <v>319</v>
      </c>
      <c r="F9" s="447" t="s">
        <v>320</v>
      </c>
      <c r="G9" s="2210"/>
      <c r="J9" s="456">
        <v>11</v>
      </c>
    </row>
    <row customHeight="1" ht="12" hidden="1">
      <c r="A10" s="458"/>
      <c r="B10" s="503"/>
      <c r="C10" s="458"/>
      <c r="D10" s="465"/>
      <c r="E10" s="465"/>
      <c r="F10" s="465"/>
      <c r="G10" s="465"/>
      <c r="J10" s="456">
        <v>0</v>
      </c>
    </row>
    <row customHeight="1" ht="22.5" hidden="1">
      <c r="A11" s="458"/>
      <c r="B11" s="503"/>
      <c r="C11" s="458"/>
      <c r="D11" s="1010" t="s">
        <v>118</v>
      </c>
      <c r="E11" s="1013" t="s">
        <v>321</v>
      </c>
      <c r="F11" s="1012" t="str">
        <f>IF(region_name="","",region_name)</f>
        <v>Курганская область</v>
      </c>
      <c r="G11" s="1013" t="s">
        <v>322</v>
      </c>
      <c r="H11" s="476"/>
      <c r="J11" s="456">
        <v>0</v>
      </c>
    </row>
    <row customHeight="1" ht="22.5" hidden="1">
      <c r="A12" s="458"/>
      <c r="B12" s="503"/>
      <c r="C12" s="458"/>
      <c r="D12" s="446" t="s">
        <v>118</v>
      </c>
      <c r="E12" s="445" t="str">
        <f>IF(TEMPLATE_SPHERE="TKO","Данные об организации (индивидуальном предпринимателе)","Данные о регулируемой организации"&amp;IF(TEMPLATE_SPHERE="HEAT",", о единой теплоснабжающей организации в ценовых зонах теплоснабжения, о теплоснабжающей организации в ценовых зонах теплоснабжения и теплосетевой организации в ценовых зонах теплоснабжения ",""))</f>
        <v>Данные о регулируемой организации, о единой теплоснабжающей организации в ценовых зонах теплоснабжения, о теплоснабжающей организации в ценовых зонах теплоснабжения и теплосетевой организации в ценовых зонах теплоснабжения </v>
      </c>
      <c r="F12" s="444" t="s">
        <v>323</v>
      </c>
      <c r="G12" s="475"/>
      <c r="H12" s="476"/>
      <c r="J12" s="456">
        <v>0</v>
      </c>
    </row>
    <row customHeight="1" ht="23.25">
      <c r="A13" s="458"/>
      <c r="B13" s="503"/>
      <c r="C13" s="458"/>
      <c r="D13" s="446" t="s">
        <v>118</v>
      </c>
      <c r="E13" s="443" t="str">
        <f>"Наименование юридического лица"&amp;IF(TEMPLATE_SPHERE="TKO"," (индивидуального предпринимателя)","")</f>
        <v>Наименование юридического лица</v>
      </c>
      <c r="F13" s="442"/>
      <c r="G13" s="445" t="str">
        <f>"Наименование юридического лица"&amp;IF(TEMPLATE_SPHERE="HEAT"," (согласно уставу регулируемой организации)"," указывается согласно уставу "&amp;IF(TEMPLATE_SPHERE="TKO","организации. Наименование индивидуального предпринимателя указывается согласно сведениям из ЕГРИП.","регулируемой организации."))</f>
        <v>Наименование юридического лица (согласно уставу регулируемой организации)</v>
      </c>
      <c r="H13" s="476"/>
      <c r="J13" s="456">
        <v>22</v>
      </c>
    </row>
    <row customHeight="1" ht="22.5" hidden="1">
      <c r="A14" s="458"/>
      <c r="B14" s="503"/>
      <c r="C14" s="458"/>
      <c r="D14" s="1010" t="s">
        <v>324</v>
      </c>
      <c r="E14" s="1011" t="s">
        <v>325</v>
      </c>
      <c r="F14" s="1012" t="str">
        <f>IF(inn="","",inn)</f>
        <v>4501122913</v>
      </c>
      <c r="G14" s="1013" t="s">
        <v>326</v>
      </c>
      <c r="H14" s="476"/>
      <c r="J14" s="456">
        <v>0</v>
      </c>
    </row>
    <row customHeight="1" ht="22.5" hidden="1">
      <c r="A15" s="458"/>
      <c r="B15" s="503"/>
      <c r="C15" s="458"/>
      <c r="D15" s="1010" t="s">
        <v>327</v>
      </c>
      <c r="E15" s="1011" t="s">
        <v>328</v>
      </c>
      <c r="F15" s="1012" t="str">
        <f>IF(kpp="","",kpp)</f>
        <v>450101001</v>
      </c>
      <c r="G15" s="1013" t="s">
        <v>329</v>
      </c>
      <c r="H15" s="476"/>
      <c r="J15" s="456">
        <v>0</v>
      </c>
    </row>
    <row customHeight="1" ht="39">
      <c r="A16" s="458"/>
      <c r="B16" s="503"/>
      <c r="C16" s="458"/>
      <c r="D16" s="446" t="s">
        <v>103</v>
      </c>
      <c r="E16" s="443" t="str">
        <f>"Основной государственный регистрационный номер (ОГРН)"&amp;IF(TEMPLATE_SPHERE="TKO",""," (основной государственный регистрационный номер индивидуального предпринимателя (ОГРНИП)")</f>
        <v>Основной государственный регистрационный номер (ОГРН) (основной государственный регистрационный номер индивидуального предпринимателя (ОГРНИП)</v>
      </c>
      <c r="F16" s="442"/>
      <c r="G16" s="445" t="str">
        <f>"Указывается основной государственный регистрационный номер юридического лица"&amp;IF(TEMPLATE_SPHERE="TKO",""," (индивидуального предпринимателя)")&amp;"."</f>
        <v>Указывается основной государственный регистрационный номер юридического лица (индивидуального предпринимателя).</v>
      </c>
      <c r="H16" s="476"/>
      <c r="J16" s="456">
        <v>37</v>
      </c>
    </row>
    <row customHeight="1" ht="23.25">
      <c r="A17" s="458"/>
      <c r="B17" s="503"/>
      <c r="C17" s="458"/>
      <c r="D17" s="446" t="s">
        <v>91</v>
      </c>
      <c r="E17" s="443" t="str">
        <f>"Дата присвоения ОГРН"&amp;IF(TEMPLATE_SPHERE="TKO",""," (ОГРНИП)")</f>
        <v>Дата присвоения ОГРН (ОГРНИП)</v>
      </c>
      <c r="F17" s="1733" t="s">
        <v>28</v>
      </c>
      <c r="G17" s="445" t="str">
        <f>"Дата присвоения ОГРН"&amp;IF(TEMPLATE_SPHERE="TKO",""," (ОГРНИП)")&amp;" указывается в виде «ДД.ММ.ГГГГ»."</f>
        <v>Дата присвоения ОГРН (ОГРНИП) указывается в виде «ДД.ММ.ГГГГ».</v>
      </c>
      <c r="H17" s="476"/>
      <c r="J17" s="456">
        <v>22</v>
      </c>
    </row>
    <row customHeight="1" ht="71.25">
      <c r="A18" s="458"/>
      <c r="B18" s="503"/>
      <c r="C18" s="458"/>
      <c r="D18" s="446" t="s">
        <v>92</v>
      </c>
      <c r="E18" s="443" t="str">
        <f>"Наименование органа, принявшего решение о "&amp;IF(TEMPLATE_SPHERE="TKO","государственной регистрации организации ","регистрации в соответствии со свидетельством о государственной регистрации")&amp;" в качестве юридического лица (о государственной регистрации физического лица в качестве индивидуального предпринимателя)"</f>
        <v>Наименование органа, принявшего решение о регистрации в соответствии со свидетельством о государственной регистрации в качестве юридического лица (о государственной регистрации физического лица в качестве индивидуального предпринимателя)</v>
      </c>
      <c r="F18" s="442"/>
      <c r="G18" s="475"/>
      <c r="H18" s="476"/>
      <c r="J18" s="456">
        <v>68</v>
      </c>
    </row>
    <row customHeight="1" ht="22.5" hidden="1">
      <c r="A19" s="2203" t="s">
        <v>330</v>
      </c>
      <c r="B19" s="503"/>
      <c r="C19" s="2214"/>
      <c r="D19" s="446" t="str">
        <f>A19</f>
        <v>5.1</v>
      </c>
      <c r="E19" s="443" t="s">
        <v>331</v>
      </c>
      <c r="F19" s="444" t="s">
        <v>323</v>
      </c>
      <c r="G19" s="445" t="s">
        <v>332</v>
      </c>
      <c r="H19" s="476"/>
      <c r="I19" s="853"/>
      <c r="J19" s="456">
        <v>0</v>
      </c>
    </row>
    <row customHeight="1" ht="24" hidden="1">
      <c r="A20" s="2203"/>
      <c r="B20" s="503"/>
      <c r="C20" s="2214"/>
      <c r="D20" s="441" t="str">
        <f>D19&amp;".1"</f>
        <v>5.1.1</v>
      </c>
      <c r="E20" s="440" t="s">
        <v>333</v>
      </c>
      <c r="F20" s="882" t="s">
        <v>28</v>
      </c>
      <c r="G20" s="475"/>
      <c r="H20" s="476"/>
      <c r="I20" s="853"/>
      <c r="J20" s="456">
        <v>0</v>
      </c>
    </row>
    <row customHeight="1" ht="22.5" hidden="1">
      <c r="A21" s="2203"/>
      <c r="B21" s="503"/>
      <c r="C21" s="2214"/>
      <c r="D21" s="441" t="str">
        <f>D19&amp;".2"</f>
        <v>5.1.2</v>
      </c>
      <c r="E21" s="440" t="s">
        <v>334</v>
      </c>
      <c r="F21" s="1734" t="s">
        <v>28</v>
      </c>
      <c r="G21" s="445" t="s">
        <v>335</v>
      </c>
      <c r="H21" s="476"/>
      <c r="I21" s="853"/>
      <c r="J21" s="456">
        <v>0</v>
      </c>
    </row>
    <row customHeight="1" ht="22.5" hidden="1">
      <c r="A22" s="2203"/>
      <c r="B22" s="503"/>
      <c r="C22" s="2214"/>
      <c r="D22" s="441" t="str">
        <f>D19&amp;".3"</f>
        <v>5.1.3</v>
      </c>
      <c r="E22" s="440" t="s">
        <v>336</v>
      </c>
      <c r="F22" s="882" t="s">
        <v>28</v>
      </c>
      <c r="G22" s="475"/>
      <c r="H22" s="476"/>
      <c r="I22" s="853"/>
      <c r="J22" s="456">
        <v>0</v>
      </c>
    </row>
    <row customHeight="1" ht="22.5" hidden="1">
      <c r="A23" s="2203"/>
      <c r="B23" s="503"/>
      <c r="C23" s="2214"/>
      <c r="D23" s="441" t="str">
        <f>D19&amp;".4"</f>
        <v>5.1.4</v>
      </c>
      <c r="E23" s="440" t="s">
        <v>337</v>
      </c>
      <c r="F23" s="882" t="s">
        <v>28</v>
      </c>
      <c r="G23" s="445" t="s">
        <v>338</v>
      </c>
      <c r="H23" s="476"/>
      <c r="I23" s="853"/>
      <c r="J23" s="456">
        <v>0</v>
      </c>
    </row>
    <row customHeight="1" ht="22.5" hidden="1">
      <c r="A24" s="1979"/>
      <c r="B24" s="503"/>
      <c r="C24" s="493"/>
      <c r="D24" s="468"/>
      <c r="E24" s="1169" t="s">
        <v>339</v>
      </c>
      <c r="F24" s="469"/>
      <c r="G24" s="470"/>
      <c r="H24" s="476"/>
      <c r="I24" s="853"/>
      <c r="J24" s="456">
        <v>0</v>
      </c>
    </row>
    <row s="502" customFormat="1" customHeight="1" ht="24.75" hidden="1">
      <c r="A25" s="458"/>
      <c r="B25" s="503"/>
      <c r="C25" s="503"/>
      <c r="D25" s="1007" t="s">
        <v>91</v>
      </c>
      <c r="E25" s="1009" t="s">
        <v>340</v>
      </c>
      <c r="F25" s="1014" t="s">
        <v>323</v>
      </c>
      <c r="G25" s="1009"/>
      <c r="J25" s="502">
        <v>0</v>
      </c>
    </row>
    <row s="502" customFormat="1" customHeight="1" ht="11.25" hidden="1">
      <c r="A26" s="458"/>
      <c r="B26" s="503"/>
      <c r="C26" s="503"/>
      <c r="D26" s="1007" t="s">
        <v>341</v>
      </c>
      <c r="E26" s="1008" t="s">
        <v>342</v>
      </c>
      <c r="F26" s="1014" t="s">
        <v>323</v>
      </c>
      <c r="G26" s="1009"/>
      <c r="J26" s="502">
        <v>0</v>
      </c>
    </row>
    <row s="502" customFormat="1" customHeight="1" ht="11.25" hidden="1">
      <c r="A27" s="458"/>
      <c r="B27" s="503"/>
      <c r="C27" s="503"/>
      <c r="D27" s="1007" t="s">
        <v>343</v>
      </c>
      <c r="E27" s="1015" t="s">
        <v>344</v>
      </c>
      <c r="F27" s="1016"/>
      <c r="G27" s="1009" t="str">
        <f>"Указывается фамилия должностного лица"&amp;IF(TEMPLATE_SPHERE="HEAT"," регулируемой","")&amp;" организации"&amp;IF(TEMPLATE_SPHERE="HEAT",""," "&amp;TEMPLATE_SPHERE_RUS)&amp;", ответственного за размещение данных, в соответствии с паспортными данными физического лица."</f>
        <v>Указывается фамилия должностного лица регулируемой организации, ответственного за размещение данных, в соответствии с паспортными данными физического лица.</v>
      </c>
      <c r="J27" s="502">
        <v>0</v>
      </c>
    </row>
    <row s="502" customFormat="1" customHeight="1" ht="11.25" hidden="1">
      <c r="A28" s="458"/>
      <c r="B28" s="503"/>
      <c r="C28" s="503"/>
      <c r="D28" s="1007" t="s">
        <v>345</v>
      </c>
      <c r="E28" s="1015" t="s">
        <v>346</v>
      </c>
      <c r="F28" s="1016"/>
      <c r="G28" s="1009" t="str">
        <f>"Указывается имя должностного лица"&amp;IF(TEMPLATE_SPHERE="HEAT"," регулируемой","")&amp;" организации"&amp;IF(TEMPLATE_SPHERE="HEAT",""," "&amp;TEMPLATE_SPHERE_RUS)&amp;", ответственного за размещение данных, в соответствии с паспортными данными физического лица."</f>
        <v>Указывается имя должностного лица регулируемой организации, ответственного за размещение данных, в соответствии с паспортными данными физического лица.</v>
      </c>
      <c r="J28" s="502">
        <v>0</v>
      </c>
    </row>
    <row s="502" customFormat="1" customHeight="1" ht="11.25" hidden="1">
      <c r="A29" s="458"/>
      <c r="B29" s="503"/>
      <c r="C29" s="503"/>
      <c r="D29" s="1007" t="s">
        <v>347</v>
      </c>
      <c r="E29" s="1015" t="s">
        <v>348</v>
      </c>
      <c r="F29" s="1016"/>
      <c r="G29" s="1009" t="str">
        <f>"Указывается отчество должностного лица"&amp;IF(TEMPLATE_SPHERE="HEAT"," регулируемой","")&amp;" организации"&amp;IF(TEMPLATE_SPHERE="HEAT",""," "&amp;TEMPLATE_SPHERE_RUS)&amp;", ответственного за размещение данных, в соответствии с паспортными данными физического лица (при наличии)."</f>
        <v>Указывается отчество должностного лица регулируемой организации, ответственного за размещение данных, в соответствии с паспортными данными физического лица (при наличии).</v>
      </c>
      <c r="J29" s="502">
        <v>0</v>
      </c>
    </row>
    <row s="502" customFormat="1" customHeight="1" ht="11.25" hidden="1">
      <c r="A30" s="458"/>
      <c r="B30" s="503"/>
      <c r="C30" s="503"/>
      <c r="D30" s="1007" t="s">
        <v>349</v>
      </c>
      <c r="E30" s="1008" t="s">
        <v>350</v>
      </c>
      <c r="F30" s="1016"/>
      <c r="G30" s="1009"/>
      <c r="J30" s="502">
        <v>0</v>
      </c>
    </row>
    <row s="502" customFormat="1" customHeight="1" ht="11.25" hidden="1">
      <c r="A31" s="458"/>
      <c r="B31" s="503"/>
      <c r="C31" s="503"/>
      <c r="D31" s="1007" t="s">
        <v>351</v>
      </c>
      <c r="E31" s="1008" t="s">
        <v>352</v>
      </c>
      <c r="F31" s="1016"/>
      <c r="G31" s="1009"/>
      <c r="J31" s="502">
        <v>0</v>
      </c>
    </row>
    <row s="502" customFormat="1" customHeight="1" ht="11.25" hidden="1">
      <c r="A32" s="458"/>
      <c r="B32" s="503"/>
      <c r="C32" s="503"/>
      <c r="D32" s="1007" t="s">
        <v>353</v>
      </c>
      <c r="E32" s="1008" t="s">
        <v>354</v>
      </c>
      <c r="F32" s="1017"/>
      <c r="G32" s="1009"/>
      <c r="J32" s="502">
        <v>0</v>
      </c>
    </row>
    <row customHeight="1" ht="24">
      <c r="A33" s="458" t="str">
        <f>IF(TEMPLATE_SPHERE="HEAT","6","5")</f>
        <v>6</v>
      </c>
      <c r="B33" s="503"/>
      <c r="C33" s="458"/>
      <c r="D33" s="441" t="str">
        <f>A33</f>
        <v>6</v>
      </c>
      <c r="E33" s="439" t="str">
        <f>"Фамилия, имя и отчество руководителя"&amp;IF(TEMPLATE_SPHERE="HEAT"," регулируемой организации, ЕТО, ТО ",IF(TEMPLATE_SPHERE&lt;&gt;"TKO"," регулируемой организации"," организации"))&amp;IF(TEMPLATE_SPHERE&lt;&gt;"TKO"," (индивидуального предпринимателя)","")&amp;":"</f>
        <v>Фамилия, имя и отчество руководителя регулируемой организации, ЕТО, ТО  (индивидуального предпринимателя):</v>
      </c>
      <c r="F33" s="444" t="s">
        <v>323</v>
      </c>
      <c r="G33" s="475"/>
      <c r="H33" s="476"/>
      <c r="J33" s="456">
        <v>23</v>
      </c>
    </row>
    <row customHeight="1" ht="23.25">
      <c r="A34" s="458"/>
      <c r="B34" s="503"/>
      <c r="C34" s="458"/>
      <c r="D34" s="441" t="str">
        <f>D33&amp;".1"</f>
        <v>6.1</v>
      </c>
      <c r="E34" s="443" t="str">
        <f>"фамилия"&amp;IF(TEMPLATE_SPHERE&lt;&gt;"HEAT"," руководителя","")</f>
        <v>фамилия</v>
      </c>
      <c r="F34" s="442"/>
      <c r="G34" s="445" t="str">
        <f>"Указывается фамилия руководителя"&amp;IF(TEMPLATE_SPHERE&lt;&gt;"TKO"," регулируемой организации"&amp;IF(TEMPLATE_SPHERE="HEAT",", ЕТО, ТО","")," организации")&amp;" в соответствии с паспортными данными физического лица."</f>
        <v>Указывается фамилия руководителя регулируемой организации, ЕТО, ТО в соответствии с паспортными данными физического лица.</v>
      </c>
      <c r="H34" s="476"/>
      <c r="J34" s="456">
        <v>22</v>
      </c>
    </row>
    <row customHeight="1" ht="23.25">
      <c r="A35" s="458"/>
      <c r="B35" s="503"/>
      <c r="C35" s="458"/>
      <c r="D35" s="441" t="str">
        <f>D33&amp;".2"</f>
        <v>6.2</v>
      </c>
      <c r="E35" s="443" t="str">
        <f>"имя"&amp;IF(TEMPLATE_SPHERE&lt;&gt;"HEAT"," руководителя","")</f>
        <v>имя</v>
      </c>
      <c r="F35" s="442"/>
      <c r="G35" s="445" t="str">
        <f>"Указывается имя руководителя"&amp;IF(TEMPLATE_SPHERE&lt;&gt;"TKO"," регулируемой организации"&amp;IF(TEMPLATE_SPHERE="HEAT",", ЕТО, ТО","")," организации")&amp;" в соответствии с паспортными данными физического лица."</f>
        <v>Указывается имя руководителя регулируемой организации, ЕТО, ТО в соответствии с паспортными данными физического лица.</v>
      </c>
      <c r="H35" s="476"/>
      <c r="J35" s="456">
        <v>22</v>
      </c>
    </row>
    <row customHeight="1" ht="24">
      <c r="A36" s="458"/>
      <c r="B36" s="503"/>
      <c r="C36" s="458"/>
      <c r="D36" s="441" t="str">
        <f>D33&amp;".3"</f>
        <v>6.3</v>
      </c>
      <c r="E36" s="443" t="str">
        <f>"отчество"&amp;IF(TEMPLATE_SPHERE&lt;&gt;"HEAT"," руководителя","")</f>
        <v>отчество</v>
      </c>
      <c r="F36" s="699"/>
      <c r="G36" s="445" t="str">
        <f>"Указывается отчество руководителя"&amp;IF(TEMPLATE_SPHERE&lt;&gt;"TKO"," регулируемой организации"&amp;IF(TEMPLATE_SPHERE="HEAT",", ЕТО, ТО","")," организации")&amp;" в соответствии с паспортными данными физического лица (при наличии)."</f>
        <v>Указывается отчество руководителя регулируемой организации, ЕТО, ТО в соответствии с паспортными данными физического лица (при наличии).</v>
      </c>
      <c r="H36" s="476"/>
      <c r="J36" s="456">
        <v>23</v>
      </c>
    </row>
    <row customHeight="1" ht="35.699999999999996">
      <c r="A37" s="458"/>
      <c r="B37" s="503"/>
      <c r="C37" s="458"/>
      <c r="D37" s="441">
        <f>D33+1</f>
        <v>7</v>
      </c>
      <c r="E37" s="439" t="str">
        <f>"Почтовый адрес органов управления"&amp;IF(TEMPLATE_SPHERE&lt;&gt;"TKO"," регулируемой","")&amp;" организации"&amp;IF(TEMPLATE_SPHERE="HEAT",", ЕТО, ТО","")</f>
        <v>Почтовый адрес органов управления регулируемой организации, ЕТО, ТО</v>
      </c>
      <c r="F37" s="442"/>
      <c r="G37" s="445" t="s">
        <v>355</v>
      </c>
      <c r="H37" s="476"/>
      <c r="J37" s="456">
        <v>34</v>
      </c>
    </row>
    <row customHeight="1" ht="35.699999999999996">
      <c r="A38" s="458"/>
      <c r="B38" s="503"/>
      <c r="C38" s="458"/>
      <c r="D38" s="441">
        <f>D37+1</f>
        <v>8</v>
      </c>
      <c r="E38" s="439" t="str">
        <f>"Адрес места нахождения органов управления"&amp;IF(TEMPLATE_SPHERE&lt;&gt;"TKO"," регулируемой","")&amp;" организации"&amp;IF(TEMPLATE_SPHERE="HEAT",", ЕТО, ТО","")</f>
        <v>Адрес места нахождения органов управления регулируемой организации, ЕТО, ТО</v>
      </c>
      <c r="F38" s="442"/>
      <c r="G38" s="445" t="s">
        <v>355</v>
      </c>
      <c r="H38" s="476"/>
      <c r="J38" s="456">
        <v>34</v>
      </c>
    </row>
    <row customHeight="1" ht="23.25">
      <c r="A39" s="458"/>
      <c r="B39" s="503"/>
      <c r="C39" s="458"/>
      <c r="D39" s="441">
        <f>D38+1</f>
        <v>9</v>
      </c>
      <c r="E39" s="438" t="str">
        <f>"Контактные телефоны "&amp;IF(TEMPLATE_SPHERE="TKO","","регулируемой ")&amp;"организации"&amp;IF(TEMPLATE_SPHERE="HEAT",", ЕТО, ТО",IF(TEMPLATE_SPHERE="TKO"," (индивидуального предпринимателя)",""))</f>
        <v>Контактные телефоны регулируемой организации, ЕТО, ТО</v>
      </c>
      <c r="F39" s="444" t="s">
        <v>323</v>
      </c>
      <c r="G39" s="2211" t="str">
        <f>"Указывается номер контактного телефона"&amp;IF(TEMPLATE_SPHERE&lt;&gt;"TKO"," регулируемой","")&amp;" организации.
В случае наличия нескольких номеров телефонов, информация по каждому из них указывается в отдельной строке."</f>
        <v>Указывается номер контактного телефона регулируемой организации.
В случае наличия нескольких номеров телефонов, информация по каждому из них указывается в отдельной строке.</v>
      </c>
      <c r="H39" s="476"/>
      <c r="J39" s="456">
        <v>22</v>
      </c>
    </row>
    <row customHeight="1" ht="22.5" hidden="1">
      <c r="A40" s="458"/>
      <c r="B40" s="503"/>
      <c r="C40" s="458"/>
      <c r="D40" s="441" t="str">
        <f>D39&amp;".0"</f>
        <v>9.0</v>
      </c>
      <c r="E40" s="1606"/>
      <c r="F40" s="882"/>
      <c r="G40" s="2212"/>
      <c r="H40" s="476"/>
      <c r="J40" s="456">
        <v>0</v>
      </c>
    </row>
    <row customHeight="1" ht="23.25">
      <c r="A41" s="458"/>
      <c r="B41" s="458"/>
      <c r="C41" s="1689"/>
      <c r="D41" s="441" t="str">
        <f>D39&amp;".1"</f>
        <v>9.1</v>
      </c>
      <c r="E41" s="861"/>
      <c r="F41" s="862"/>
      <c r="G41" s="2212"/>
      <c r="H41" s="476"/>
      <c r="J41" s="456">
        <v>22</v>
      </c>
    </row>
    <row customHeight="1" ht="15.75">
      <c r="A42" s="458"/>
      <c r="B42" s="503"/>
      <c r="C42" s="458"/>
      <c r="D42" s="468"/>
      <c r="E42" s="416" t="s">
        <v>356</v>
      </c>
      <c r="F42" s="470"/>
      <c r="G42" s="2213"/>
      <c r="H42" s="477"/>
      <c r="J42" s="456">
        <v>15</v>
      </c>
    </row>
    <row customHeight="1" ht="27.299999999999997">
      <c r="A43" s="458"/>
      <c r="B43" s="503"/>
      <c r="C43" s="458"/>
      <c r="D43" s="441">
        <f>D39+1</f>
        <v>10</v>
      </c>
      <c r="E43" s="439" t="str">
        <f>IF(TEMPLATE_SPHERE="TKO","Адрес официального сайта организации в сети «Интернет»","Официальный сайт регулируемой организации"&amp;IF(TEMPLATE_SPHERE="HEAT",", ЕТО, ТО","")&amp;" в сети «Интернет»")</f>
        <v>Официальный сайт регулируемой организации, ЕТО, ТО в сети «Интернет»</v>
      </c>
      <c r="F43" s="863"/>
      <c r="G43" s="445" t="str">
        <f>"Указывается адрес официального сайта"&amp;IF(TEMPLATE_SPHERE&lt;&gt;"TKO"," регулируемой","")&amp;" организации"&amp;" в сети «Интернет». В случае отсутствия официального сайта"&amp;IF(TEMPLATE_SPHERE&lt;&gt;"TKO"," регулируемой","")&amp;" организации в сети «Интернет» указывается «Отсутствует»."</f>
        <v>Указывается адрес официального сайта регулируемой организации в сети «Интернет». В случае отсутствия официального сайта регулируемой организации в сети «Интернет» указывается «Отсутствует».</v>
      </c>
      <c r="H43" s="476"/>
      <c r="J43" s="456">
        <v>26</v>
      </c>
    </row>
    <row customHeight="1" ht="23.25">
      <c r="A44" s="458"/>
      <c r="B44" s="503"/>
      <c r="C44" s="458"/>
      <c r="D44" s="441">
        <f>D43+1</f>
        <v>11</v>
      </c>
      <c r="E44" s="439" t="str">
        <f>"Адрес электронной почты "&amp;IF(TEMPLATE_SPHERE="TKO","","регулируемой ")&amp;"организации"&amp;IF(TEMPLATE_SPHERE="HEAT",", ЕТО, ТО",IF(TEMPLATE_SPHERE="TKO"," (индивидуального предпринимателя)",""))</f>
        <v>Адрес электронной почты регулируемой организации, ЕТО, ТО</v>
      </c>
      <c r="F44" s="379"/>
      <c r="G44" s="475" t="s">
        <v>357</v>
      </c>
      <c r="H44" s="476"/>
      <c r="J44" s="456">
        <v>22</v>
      </c>
    </row>
    <row customHeight="1" ht="23.25">
      <c r="A45" s="458"/>
      <c r="B45" s="503"/>
      <c r="C45" s="458"/>
      <c r="D45" s="441">
        <f>D44+1</f>
        <v>12</v>
      </c>
      <c r="E45" s="439" t="s">
        <v>358</v>
      </c>
      <c r="F45" s="444" t="s">
        <v>323</v>
      </c>
      <c r="G45" s="438" t="str">
        <f>IF(TEMPLATE_SPHERE="TKO","Указывается режим работы организации.","")</f>
        <v/>
      </c>
      <c r="H45" s="476"/>
      <c r="J45" s="456">
        <v>22</v>
      </c>
    </row>
    <row customHeight="1" ht="24">
      <c r="A46" s="458"/>
      <c r="B46" s="503"/>
      <c r="C46" s="458"/>
      <c r="D46" s="441" t="str">
        <f>D45&amp;".1"</f>
        <v>12.1</v>
      </c>
      <c r="E46" s="443" t="str">
        <f>"режим работы регулируемой организации"&amp;IF(TEMPLATE_SPHERE="HEAT",", ЕТО, ТО","")</f>
        <v>режим работы регулируемой организации, ЕТО, ТО</v>
      </c>
      <c r="F46" s="1685"/>
      <c r="G46" s="438" t="s">
        <v>359</v>
      </c>
      <c r="H46" s="476"/>
      <c r="J46" s="456">
        <v>23</v>
      </c>
    </row>
    <row customHeight="1" ht="24">
      <c r="A47" s="2203"/>
      <c r="B47" s="503"/>
      <c r="C47" s="493"/>
      <c r="D47" s="441" t="str">
        <f>D45&amp;".2"</f>
        <v>12.2</v>
      </c>
      <c r="E47" s="443" t="s">
        <v>360</v>
      </c>
      <c r="F47" s="491"/>
      <c r="G47" s="438" t="s">
        <v>361</v>
      </c>
      <c r="H47" s="476"/>
      <c r="J47" s="456">
        <v>23</v>
      </c>
    </row>
    <row customHeight="1" ht="24">
      <c r="A48" s="2203"/>
      <c r="B48" s="503"/>
      <c r="C48" s="493"/>
      <c r="D48" s="441" t="str">
        <f>D45&amp;".3"</f>
        <v>12.3</v>
      </c>
      <c r="E48" s="443" t="s">
        <v>362</v>
      </c>
      <c r="F48" s="491"/>
      <c r="G48" s="438" t="s">
        <v>363</v>
      </c>
      <c r="H48" s="476"/>
      <c r="J48" s="456">
        <v>23</v>
      </c>
    </row>
    <row customHeight="1" ht="24">
      <c r="A49" s="2203"/>
      <c r="B49" s="503"/>
      <c r="C49" s="493"/>
      <c r="D49" s="441" t="str">
        <f>IF(TEMPLATE_SPHERE="TKO",D45&amp;".0",D45&amp;".4")</f>
        <v>12.4</v>
      </c>
      <c r="E49" s="437" t="s">
        <v>364</v>
      </c>
      <c r="F49" s="1686"/>
      <c r="G49" s="1763" t="s">
        <v>365</v>
      </c>
      <c r="H49" s="476"/>
      <c r="J49" s="456">
        <v>23</v>
      </c>
    </row>
    <row customHeight="1" ht="24">
      <c r="A50" s="458"/>
      <c r="B50" s="503"/>
      <c r="C50" s="458"/>
      <c r="D50" s="468"/>
      <c r="E50" s="416" t="s">
        <v>366</v>
      </c>
      <c r="F50" s="469"/>
      <c r="G50" s="1763" t="s">
        <v>367</v>
      </c>
      <c r="H50" s="477"/>
      <c r="J50" s="456">
        <v>23</v>
      </c>
    </row>
    <row customHeight="1" ht="24">
      <c r="A51" s="859"/>
      <c r="B51" s="503"/>
      <c r="C51" s="493"/>
      <c r="D51" s="441">
        <f>D45+1</f>
        <v>13</v>
      </c>
      <c r="E51" s="529" t="s">
        <v>368</v>
      </c>
      <c r="F51" s="491"/>
      <c r="G51" s="1690" t="str">
        <f>"Указывается наличие «да» или отсутствие «нет» утвержденной в установленном порядке инвестиционной программы"&amp;IF(TEMPLATE_SPHERE="HEAT","В соответствии с пунктом 1(1) Правил согласования и утверждения инвестиционных программ организаций, осуществляющих регулируемые виды деятельности в сфере теплоснабжения, "&amp;"а также требований к составу и содержанию таких программ (за исключением таких программ, утверждаемых "&amp;"в соответствии с законодательством российской федерации об электроэнергетике), утвержденных постановлением Правительства Российской Федерации от 05.05.2014 № 410, "&amp;"в ценовых зонах теплоснабжения инвестиционная программа в отношении деятельности по подключению (технологическому присоединению) к системе теплоснабжения не разрабатывается и не утверждается.","")</f>
        <v>Указывается наличие «да» или отсутствие «нет» утвержденной в установленном порядке инвестиционной программыВ соответствии с пунктом 1(1) Правил согласования и утверждения инвестиционных программ организаций, осуществляющих регулируемые виды деятельности в сфере теплоснабжения, а также требований к составу и содержанию таких программ (за исключением таких программ, утверждаемых в соответствии с законодательством российской федерации об электроэнергетике), утвержденных постановлением Правительства Российской Федерации от 05.05.2014 № 410, в ценовых зонах теплоснабжения инвестиционная программа в отношении деятельности по подключению (технологическому присоединению) к системе теплоснабжения не разрабатывается и не утверждается.</v>
      </c>
      <c r="H51" s="476"/>
      <c r="J51" s="456">
        <v>23</v>
      </c>
    </row>
    <row customHeight="1" ht="11.549999999999999">
      <c r="A52" s="458"/>
      <c r="B52" s="503"/>
      <c r="C52" s="458"/>
      <c r="J52" s="456">
        <v>11</v>
      </c>
    </row>
    <row s="461" customFormat="1" customHeight="1" ht="31.5">
      <c r="A53" s="1688"/>
      <c r="B53" s="504"/>
      <c r="C53" s="2204"/>
      <c r="D53" s="2207" t="str">
        <f>"В случае если регулируемая организация"&amp;IF(TEMPLATE_SPHERE="HEAT",", единая теплоснабжающая организация в ценовых зонах теплоснабжения, теплоснабжающая организация в ценовых зонах теплоснабжения и теплосетевая организация в ценовых зонах теплоснабжения","")&amp;" осуществляет несколько видов деятельности в сфере "&amp;TEMPLATE_SPHERE_RUS&amp;", информация о которых подлежит раскрытию в соответствии со Стандартами раскрытия информации в сфере "&amp;IF(TEMPLATE_SPHERE="HEAT","теплоснабжения","водоснабжения и водоотведения")&amp;", утвержденными постановлением Правительства Российской Федерации от 26.01.2023 № "&amp;IF(TEMPLATE_SPHERE="HEAT","110",IF(TEMPLATE_SPHERE="TKO","109 ""Об утверждении стандартов раскрытия информации в области обращения с твердыми коммунальными отходами""","108"))&amp;", информация по каждому виду деятельности раскрывается отдельно."</f>
        <v>В случае если регулируемая организация, единая теплоснабжающая организация в ценовых зонах теплоснабжения, теплоснабжающая организация в ценовых зонах теплоснабжения и теплосетевая организация в ценовых зонах теплоснабжения осуществляет несколько видов деятельности в сфере теплоснабжения, информация о которых подлежит раскрытию в соответствии со Стандартами раскрытия информации в сфере теплоснабжения, утвержденными постановлением Правительства Российской Федерации от 26.01.2023 № 110, информация по каждому виду деятельности раскрывается отдельно.</v>
      </c>
      <c r="E53" s="2207"/>
      <c r="F53" s="2207"/>
      <c r="G53" s="2207"/>
      <c r="H53" s="455"/>
      <c r="I53" s="455"/>
      <c r="J53" s="461">
        <v>30</v>
      </c>
    </row>
    <row s="461" customFormat="1" customHeight="1" ht="42">
      <c r="A54" s="458"/>
      <c r="B54" s="503"/>
      <c r="C54" s="2204"/>
      <c r="D54" s="2207" t="str">
        <f>IF(ORG_INFO_P_NOTE_MAIN=0,"",ORG_INFO_P_NOTE_MAIN)</f>
        <v>В случае если регулируемыми организациями, единой теплоснабжающей организацией в ценовых зонах теплоснабжения, теплоснабжающей организацией в ценовых зонах теплоснабжения и теплосетевой организацией в ценовых зонах теплоснабжения оказываются услуги по теплоснабжению по нескольким технологически не связанным между собой централизованным системам теплоснабжения, и если в отношении указанных систем устанавливаются различные тарифы в сфере теплоснабжения, то информация раскрывается отдельно по каждой централизованной системе теплоснабжения.</v>
      </c>
      <c r="E54" s="2207"/>
      <c r="F54" s="2207"/>
      <c r="G54" s="2207"/>
      <c r="J54" s="461">
        <v>40</v>
      </c>
    </row>
    <row customHeight="1" ht="11.549999999999999">
      <c r="D55" s="459"/>
      <c r="E55" s="460"/>
      <c r="F55" s="460"/>
      <c r="G55" s="460"/>
      <c r="J55" s="456">
        <v>11</v>
      </c>
    </row>
    <row customHeight="1" ht="28.5">
      <c r="D56" s="462"/>
      <c r="E56" s="459"/>
      <c r="F56" s="471"/>
      <c r="G56" s="471"/>
      <c r="J56" s="456">
        <v>27</v>
      </c>
    </row>
    <row customHeight="1" ht="11.549999999999999">
      <c r="D57" s="459"/>
      <c r="E57" s="459"/>
      <c r="F57" s="460"/>
      <c r="G57" s="460"/>
      <c r="J57" s="456">
        <v>11</v>
      </c>
    </row>
    <row customHeight="1" ht="40.949999999999996">
      <c r="D58" s="463"/>
      <c r="E58" s="472"/>
      <c r="F58" s="472"/>
      <c r="G58" s="472"/>
      <c r="J58" s="456">
        <v>39</v>
      </c>
    </row>
    <row customHeight="1" ht="28.5">
      <c r="D59" s="463"/>
      <c r="E59" s="472"/>
      <c r="F59" s="472"/>
      <c r="G59" s="472"/>
      <c r="J59" s="456">
        <v>27</v>
      </c>
    </row>
    <row customHeight="1" ht="11.25" hidden="1">
      <c r="A60" s="1687" t="s">
        <v>83</v>
      </c>
      <c r="B60" s="502">
        <v>0</v>
      </c>
      <c r="C60" s="456">
        <v>3</v>
      </c>
      <c r="D60" s="457">
        <v>6</v>
      </c>
      <c r="E60" s="456">
        <v>52</v>
      </c>
      <c r="F60" s="456">
        <v>48</v>
      </c>
      <c r="G60" s="456">
        <v>121</v>
      </c>
      <c r="H60" s="456">
        <v>8</v>
      </c>
      <c r="I60" s="456">
        <v>64</v>
      </c>
      <c r="J60" s="456">
        <v>11</v>
      </c>
    </row>
  </sheetData>
  <sheetProtection formatColumns="0" formatRows="0" sort="0" autoFilter="0" insertRows="0" insertColumns="1" deleteRows="0" deleteColumns="0"/>
  <mergeCells count="12">
    <mergeCell ref="D4:F4"/>
    <mergeCell ref="A47:A49"/>
    <mergeCell ref="C53:C54"/>
    <mergeCell ref="D8:F8"/>
    <mergeCell ref="D53:G53"/>
    <mergeCell ref="D54:G54"/>
    <mergeCell ref="E7:F7"/>
    <mergeCell ref="G8:G9"/>
    <mergeCell ref="D5:F5"/>
    <mergeCell ref="G39:G42"/>
    <mergeCell ref="A19:A23"/>
    <mergeCell ref="C19:C23"/>
  </mergeCells>
  <dataValidations count="3">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F21 F17"/>
    <dataValidation type="textLength" operator="lessThanOrEqual" allowBlank="1" showInputMessage="1" showErrorMessage="1" errorTitle="Ошибка" error="Допускается ввод не более 900 символов!" sqref="F13 F43:F44 F27:F32 F16 E40:F41 F18 F20 F34:F38 F22:F23">
      <formula1>900</formula1>
    </dataValidation>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F51 F46:F49">
      <formula1>"a"</formula1>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7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A92D0B1E-74C8-9F38-47C8-B3A8A04AA099}" mc:Ignorable="x14ac xr xr2 xr3">
  <sheetPr>
    <tabColor rgb="FFFFCC99"/>
  </sheetPr>
  <dimension ref="A1:A1"/>
  <sheetViews>
    <sheetView topLeftCell="A1" showGridLines="0" workbookViewId="0">
      <selection activeCell="A1" sqref="A1"/>
    </sheetView>
  </sheetViews>
  <sheetFormatPr customHeight="1" defaultRowHeight="11.25"/>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7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B918A998-19FE-4345-D6A8-C74D28A3C558}" mc:Ignorable="x14ac xr xr2 xr3">
  <sheetPr>
    <tabColor rgb="FFFFCC99"/>
  </sheetPr>
  <dimension ref="A1:A1"/>
  <sheetViews>
    <sheetView topLeftCell="A1" showGridLines="0" workbookViewId="0">
      <selection activeCell="A1" sqref="A1"/>
    </sheetView>
  </sheetViews>
  <sheetFormatPr customHeight="1" defaultRowHeight="11.25"/>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7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2A0DCFF8-1A9B-45E8-8758-15EDF62C52D8}" mc:Ignorable="x14ac xr xr2 xr3">
  <sheetPr>
    <tabColor rgb="FFFFCC99"/>
  </sheetPr>
  <dimension ref="A1:A1"/>
  <sheetViews>
    <sheetView topLeftCell="A1" showGridLines="0" workbookViewId="0">
      <selection activeCell="A1" sqref="A1"/>
    </sheetView>
  </sheetViews>
  <sheetFormatPr customHeight="1" defaultRowHeight="11.25"/>
  <sheetData>
    <row customHeight="1" ht="11.25">
      <c r="A1" s="67"/>
    </row>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7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D95D6B89-F398-664A-CC38-96C9112DEFD1}" mc:Ignorable="x14ac xr xr2 xr3">
  <dimension ref="A1:E8"/>
  <sheetViews>
    <sheetView topLeftCell="A1" showGridLines="0" workbookViewId="0">
      <selection activeCell="A1" sqref="A1"/>
    </sheetView>
  </sheetViews>
  <sheetFormatPr customHeight="1" defaultRowHeight="11.25"/>
  <cols>
    <col min="1" max="1" style="65" width="10.57421875" customWidth="1"/>
    <col min="2" max="2" style="65" width="8.7109375" customWidth="1"/>
    <col min="3" max="3" style="65" width="18.140625" customWidth="1"/>
    <col min="4" max="4" style="65" width="12.57421875" customWidth="1"/>
  </cols>
  <sheetData>
    <row customHeight="1" ht="11.25">
      <c r="A1" s="2616" t="s">
        <v>2249</v>
      </c>
      <c r="B1" s="2617" t="s">
        <v>2250</v>
      </c>
      <c r="C1" s="2618" t="s">
        <v>2251</v>
      </c>
      <c r="D1" s="2619"/>
      <c r="E1" s="837" t="s">
        <v>2252</v>
      </c>
    </row>
    <row customHeight="1" ht="11.25">
      <c r="A2" s="2620"/>
      <c r="B2" s="766" t="s">
        <v>26</v>
      </c>
      <c r="C2" s="754"/>
      <c r="D2" s="765"/>
      <c r="E2" s="837"/>
    </row>
    <row customHeight="1" ht="11.25">
      <c r="A3" s="2621"/>
      <c r="B3" s="2622" t="s">
        <v>33</v>
      </c>
      <c r="C3" s="754"/>
      <c r="D3" s="765"/>
      <c r="E3" s="837"/>
    </row>
    <row customHeight="1" ht="11.25">
      <c r="A4" s="2623"/>
      <c r="B4" s="767" t="s">
        <v>1675</v>
      </c>
      <c r="C4" s="754"/>
      <c r="D4" s="765"/>
      <c r="E4" s="837"/>
    </row>
    <row customHeight="1" ht="11.25">
      <c r="A5" s="2624"/>
      <c r="B5" s="767" t="s">
        <v>1669</v>
      </c>
      <c r="C5" s="2625" t="s">
        <v>2016</v>
      </c>
      <c r="D5" s="2626" t="s">
        <v>2253</v>
      </c>
      <c r="E5" s="837"/>
    </row>
    <row s="1851" customFormat="1" customHeight="1" ht="11.25">
      <c r="A6" s="2627"/>
      <c r="B6" s="767" t="s">
        <v>1679</v>
      </c>
      <c r="C6" s="754"/>
      <c r="D6" s="765"/>
      <c r="E6" s="837"/>
    </row>
    <row customHeight="1" ht="11.25">
      <c r="A7" s="2628"/>
      <c r="B7" s="767" t="s">
        <v>1686</v>
      </c>
      <c r="C7" s="754"/>
      <c r="D7" s="765"/>
      <c r="E7" s="837"/>
    </row>
    <row customHeight="1" ht="11.25">
      <c r="A8" s="757"/>
      <c r="B8" s="767" t="s">
        <v>1682</v>
      </c>
      <c r="C8" s="754"/>
      <c r="D8" s="765"/>
      <c r="E8" s="837"/>
    </row>
  </sheetData>
  <sheetProtection formatColumns="0" formatRows="0" autoFilter="0" sort="0" insertRows="0" insertColumns="1" deleteRows="0" deleteColumns="0"/>
  <mergeCells count="1">
    <mergeCell ref="C1:D1"/>
  </mergeCell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7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4DD89EF3-D061-33A4-1EA8-3C3DCDB4AB6D}" mc:Ignorable="x14ac xr xr2 xr3">
  <sheetPr>
    <tabColor rgb="FFFFCC99"/>
  </sheetPr>
  <dimension ref="A1:A1"/>
  <sheetViews>
    <sheetView topLeftCell="A1" showGridLines="0" workbookViewId="0">
      <selection activeCell="A1" sqref="A1"/>
    </sheetView>
  </sheetViews>
  <sheetFormatPr customHeight="1" defaultRowHeight="11.25"/>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7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9C2B0896-BE78-4058-4DC8-A7C82C74083F}" mc:Ignorable="x14ac xr xr2 xr3">
  <sheetPr>
    <tabColor rgb="FFFFCC99"/>
  </sheetPr>
  <dimension ref="A1:A1"/>
  <sheetViews>
    <sheetView topLeftCell="A1" showGridLines="0" workbookViewId="0">
      <selection activeCell="A1" sqref="A1"/>
    </sheetView>
  </sheetViews>
  <sheetFormatPr customHeight="1" defaultRowHeight="11.25"/>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7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C2266C0D-8A4F-2751-3D88-90C675AB0038}" mc:Ignorable="x14ac xr xr2 xr3">
  <sheetPr>
    <tabColor rgb="FFFFCC99"/>
  </sheetPr>
  <dimension ref="A1:I365"/>
  <sheetViews>
    <sheetView topLeftCell="A1" showGridLines="0" workbookViewId="0">
      <selection activeCell="A1" sqref="A1"/>
    </sheetView>
  </sheetViews>
  <sheetFormatPr defaultColWidth="9.140625" customHeight="1" defaultRowHeight="11.25"/>
  <cols>
    <col min="1" max="2" style="1851" width="9.140625"/>
    <col min="3" max="3" style="1851" width="20.7109375" customWidth="1"/>
    <col min="4" max="4" style="1851" width="25.140625" customWidth="1"/>
    <col min="5" max="9" style="1851" width="9.140625"/>
  </cols>
  <sheetData>
    <row customHeight="1" ht="11.25">
      <c r="A1" s="69" t="s">
        <v>2254</v>
      </c>
      <c r="B1" s="69" t="s">
        <v>2255</v>
      </c>
      <c r="C1" s="69" t="s">
        <v>2256</v>
      </c>
      <c r="D1" s="69" t="s">
        <v>2257</v>
      </c>
      <c r="E1" s="69" t="s">
        <v>2258</v>
      </c>
      <c r="F1" s="69" t="s">
        <v>2259</v>
      </c>
      <c r="G1" s="69" t="s">
        <v>2260</v>
      </c>
      <c r="H1" s="69" t="s">
        <v>2261</v>
      </c>
      <c r="I1" s="69" t="s">
        <v>2262</v>
      </c>
    </row>
    <row customHeight="1" ht="11.25">
      <c r="A2" s="1851" t="s">
        <v>2263</v>
      </c>
      <c r="B2" s="1851" t="s">
        <v>16</v>
      </c>
      <c r="C2" s="1851" t="s">
        <v>2264</v>
      </c>
      <c r="D2" s="1851" t="s">
        <v>2265</v>
      </c>
      <c r="E2" s="1851" t="s">
        <v>2266</v>
      </c>
      <c r="F2" s="1851" t="s">
        <v>52</v>
      </c>
      <c r="G2" s="1851" t="s">
        <v>2267</v>
      </c>
      <c r="H2" s="1851" t="s">
        <v>28</v>
      </c>
      <c r="I2" s="1851" t="s">
        <v>826</v>
      </c>
    </row>
    <row customHeight="1" ht="11.25">
      <c r="A3" s="1851" t="s">
        <v>2263</v>
      </c>
      <c r="B3" s="1851" t="s">
        <v>16</v>
      </c>
      <c r="C3" s="1851" t="s">
        <v>2268</v>
      </c>
      <c r="D3" s="1851" t="s">
        <v>2269</v>
      </c>
      <c r="E3" s="1851" t="s">
        <v>2270</v>
      </c>
      <c r="F3" s="1851" t="s">
        <v>2271</v>
      </c>
      <c r="G3" s="1851" t="s">
        <v>2272</v>
      </c>
      <c r="H3" s="1851" t="s">
        <v>28</v>
      </c>
      <c r="I3" s="1851" t="s">
        <v>826</v>
      </c>
    </row>
    <row customHeight="1" ht="11.25">
      <c r="A4" s="1851" t="s">
        <v>2263</v>
      </c>
      <c r="B4" s="1851" t="s">
        <v>16</v>
      </c>
      <c r="C4" s="1851" t="s">
        <v>2273</v>
      </c>
      <c r="D4" s="1851" t="s">
        <v>2274</v>
      </c>
      <c r="E4" s="1851" t="s">
        <v>2275</v>
      </c>
      <c r="F4" s="1851" t="s">
        <v>2276</v>
      </c>
      <c r="G4" s="1851" t="s">
        <v>28</v>
      </c>
      <c r="H4" s="1851" t="s">
        <v>28</v>
      </c>
      <c r="I4" s="1851" t="s">
        <v>826</v>
      </c>
    </row>
    <row customHeight="1" ht="11.25">
      <c r="A5" s="1851" t="s">
        <v>2263</v>
      </c>
      <c r="B5" s="1851" t="s">
        <v>16</v>
      </c>
      <c r="C5" s="1851" t="s">
        <v>2277</v>
      </c>
      <c r="D5" s="1851" t="s">
        <v>2278</v>
      </c>
      <c r="E5" s="1851" t="s">
        <v>2279</v>
      </c>
      <c r="F5" s="1851" t="s">
        <v>52</v>
      </c>
      <c r="G5" s="1851" t="s">
        <v>28</v>
      </c>
      <c r="H5" s="1851" t="s">
        <v>28</v>
      </c>
      <c r="I5" s="1851" t="s">
        <v>826</v>
      </c>
    </row>
    <row customHeight="1" ht="11.25">
      <c r="A6" s="1851" t="s">
        <v>2263</v>
      </c>
      <c r="B6" s="1851" t="s">
        <v>16</v>
      </c>
      <c r="C6" s="1851" t="s">
        <v>2280</v>
      </c>
      <c r="D6" s="1851" t="s">
        <v>2281</v>
      </c>
      <c r="E6" s="1851" t="s">
        <v>2282</v>
      </c>
      <c r="F6" s="1851" t="s">
        <v>52</v>
      </c>
      <c r="G6" s="1851" t="s">
        <v>2283</v>
      </c>
      <c r="H6" s="1851" t="s">
        <v>28</v>
      </c>
      <c r="I6" s="1851" t="s">
        <v>826</v>
      </c>
    </row>
    <row customHeight="1" ht="11.25">
      <c r="A7" s="1851" t="s">
        <v>2263</v>
      </c>
      <c r="B7" s="1851" t="s">
        <v>16</v>
      </c>
      <c r="C7" s="1851" t="s">
        <v>2284</v>
      </c>
      <c r="D7" s="1851" t="s">
        <v>2285</v>
      </c>
      <c r="E7" s="1851" t="s">
        <v>2286</v>
      </c>
      <c r="F7" s="1851" t="s">
        <v>52</v>
      </c>
      <c r="G7" s="1851" t="s">
        <v>2287</v>
      </c>
      <c r="H7" s="1851" t="s">
        <v>28</v>
      </c>
      <c r="I7" s="1851" t="s">
        <v>826</v>
      </c>
    </row>
    <row customHeight="1" ht="11.25">
      <c r="A8" s="1851" t="s">
        <v>2263</v>
      </c>
      <c r="B8" s="1851" t="s">
        <v>16</v>
      </c>
      <c r="C8" s="1851" t="s">
        <v>2288</v>
      </c>
      <c r="D8" s="1851" t="s">
        <v>2289</v>
      </c>
      <c r="E8" s="1851" t="s">
        <v>2290</v>
      </c>
      <c r="F8" s="1851" t="s">
        <v>2291</v>
      </c>
      <c r="G8" s="1851" t="s">
        <v>28</v>
      </c>
      <c r="H8" s="1851" t="s">
        <v>28</v>
      </c>
      <c r="I8" s="1851" t="s">
        <v>826</v>
      </c>
    </row>
    <row customHeight="1" ht="11.25">
      <c r="A9" s="1851" t="s">
        <v>2263</v>
      </c>
      <c r="B9" s="1851" t="s">
        <v>16</v>
      </c>
      <c r="C9" s="1851" t="s">
        <v>2292</v>
      </c>
      <c r="D9" s="1851" t="s">
        <v>2293</v>
      </c>
      <c r="E9" s="1851" t="s">
        <v>2294</v>
      </c>
      <c r="F9" s="1851" t="s">
        <v>2295</v>
      </c>
      <c r="G9" s="1851" t="s">
        <v>28</v>
      </c>
      <c r="H9" s="1851" t="s">
        <v>28</v>
      </c>
      <c r="I9" s="1851" t="s">
        <v>826</v>
      </c>
    </row>
    <row customHeight="1" ht="11.25">
      <c r="A10" s="1851" t="s">
        <v>2263</v>
      </c>
      <c r="B10" s="1851" t="s">
        <v>16</v>
      </c>
      <c r="C10" s="1851" t="s">
        <v>2296</v>
      </c>
      <c r="D10" s="1851" t="s">
        <v>2297</v>
      </c>
      <c r="E10" s="1851" t="s">
        <v>2298</v>
      </c>
      <c r="F10" s="1851" t="s">
        <v>2291</v>
      </c>
      <c r="G10" s="1851" t="s">
        <v>2299</v>
      </c>
      <c r="H10" s="1851" t="s">
        <v>28</v>
      </c>
      <c r="I10" s="1851" t="s">
        <v>826</v>
      </c>
    </row>
    <row customHeight="1" ht="11.25">
      <c r="A11" s="1851" t="s">
        <v>2263</v>
      </c>
      <c r="B11" s="1851" t="s">
        <v>16</v>
      </c>
      <c r="C11" s="1851" t="s">
        <v>2300</v>
      </c>
      <c r="D11" s="1851" t="s">
        <v>2301</v>
      </c>
      <c r="E11" s="1851" t="s">
        <v>2302</v>
      </c>
      <c r="F11" s="1851" t="s">
        <v>2291</v>
      </c>
      <c r="G11" s="1851" t="s">
        <v>28</v>
      </c>
      <c r="H11" s="1851" t="s">
        <v>28</v>
      </c>
      <c r="I11" s="1851" t="s">
        <v>826</v>
      </c>
    </row>
    <row customHeight="1" ht="11.25">
      <c r="A12" s="1851" t="s">
        <v>2263</v>
      </c>
      <c r="B12" s="1851" t="s">
        <v>16</v>
      </c>
      <c r="C12" s="1851" t="s">
        <v>2303</v>
      </c>
      <c r="D12" s="1851" t="s">
        <v>2304</v>
      </c>
      <c r="E12" s="1851" t="s">
        <v>2305</v>
      </c>
      <c r="F12" s="1851" t="s">
        <v>52</v>
      </c>
      <c r="G12" s="1851" t="s">
        <v>28</v>
      </c>
      <c r="H12" s="1851" t="s">
        <v>28</v>
      </c>
      <c r="I12" s="1851" t="s">
        <v>826</v>
      </c>
    </row>
    <row customHeight="1" ht="11.25">
      <c r="A13" s="1851" t="s">
        <v>2263</v>
      </c>
      <c r="B13" s="1851" t="s">
        <v>16</v>
      </c>
      <c r="C13" s="1851" t="s">
        <v>2306</v>
      </c>
      <c r="D13" s="1851" t="s">
        <v>2307</v>
      </c>
      <c r="E13" s="1851" t="s">
        <v>2308</v>
      </c>
      <c r="F13" s="1851" t="s">
        <v>2309</v>
      </c>
      <c r="G13" s="1851" t="s">
        <v>2310</v>
      </c>
      <c r="H13" s="1851" t="s">
        <v>28</v>
      </c>
      <c r="I13" s="1851" t="s">
        <v>826</v>
      </c>
    </row>
    <row customHeight="1" ht="11.25">
      <c r="A14" s="1851" t="s">
        <v>2263</v>
      </c>
      <c r="B14" s="1851" t="s">
        <v>16</v>
      </c>
      <c r="C14" s="1851" t="s">
        <v>2311</v>
      </c>
      <c r="D14" s="1851" t="s">
        <v>2312</v>
      </c>
      <c r="E14" s="1851" t="s">
        <v>2313</v>
      </c>
      <c r="F14" s="1851" t="s">
        <v>2314</v>
      </c>
      <c r="G14" s="1851" t="s">
        <v>2315</v>
      </c>
      <c r="H14" s="1851" t="s">
        <v>28</v>
      </c>
      <c r="I14" s="1851" t="s">
        <v>826</v>
      </c>
    </row>
    <row customHeight="1" ht="11.25">
      <c r="A15" s="1851" t="s">
        <v>2263</v>
      </c>
      <c r="B15" s="1851" t="s">
        <v>16</v>
      </c>
      <c r="C15" s="1851" t="s">
        <v>2316</v>
      </c>
      <c r="D15" s="1851" t="s">
        <v>2317</v>
      </c>
      <c r="E15" s="1851" t="s">
        <v>2318</v>
      </c>
      <c r="F15" s="1851" t="s">
        <v>2309</v>
      </c>
      <c r="G15" s="1851" t="s">
        <v>28</v>
      </c>
      <c r="H15" s="1851" t="s">
        <v>28</v>
      </c>
      <c r="I15" s="1851" t="s">
        <v>826</v>
      </c>
    </row>
    <row customHeight="1" ht="11.25">
      <c r="A16" s="1851" t="s">
        <v>2263</v>
      </c>
      <c r="B16" s="1851" t="s">
        <v>16</v>
      </c>
      <c r="C16" s="1851" t="s">
        <v>2319</v>
      </c>
      <c r="D16" s="1851" t="s">
        <v>2320</v>
      </c>
      <c r="E16" s="1851" t="s">
        <v>2321</v>
      </c>
      <c r="F16" s="1851" t="s">
        <v>52</v>
      </c>
      <c r="G16" s="1851" t="s">
        <v>2322</v>
      </c>
      <c r="H16" s="1851" t="s">
        <v>28</v>
      </c>
      <c r="I16" s="1851" t="s">
        <v>826</v>
      </c>
    </row>
    <row customHeight="1" ht="11.25">
      <c r="A17" s="1851" t="s">
        <v>2263</v>
      </c>
      <c r="B17" s="1851" t="s">
        <v>16</v>
      </c>
      <c r="C17" s="1851" t="s">
        <v>2323</v>
      </c>
      <c r="D17" s="1851" t="s">
        <v>2324</v>
      </c>
      <c r="E17" s="1851" t="s">
        <v>2325</v>
      </c>
      <c r="F17" s="1851" t="s">
        <v>2291</v>
      </c>
      <c r="G17" s="1851" t="s">
        <v>28</v>
      </c>
      <c r="H17" s="1851" t="s">
        <v>28</v>
      </c>
      <c r="I17" s="1851" t="s">
        <v>826</v>
      </c>
    </row>
    <row customHeight="1" ht="11.25">
      <c r="A18" s="1851" t="s">
        <v>2263</v>
      </c>
      <c r="B18" s="1851" t="s">
        <v>16</v>
      </c>
      <c r="C18" s="1851" t="s">
        <v>2326</v>
      </c>
      <c r="D18" s="1851" t="s">
        <v>2327</v>
      </c>
      <c r="E18" s="1851" t="s">
        <v>2328</v>
      </c>
      <c r="F18" s="1851" t="s">
        <v>2291</v>
      </c>
      <c r="G18" s="1851" t="s">
        <v>28</v>
      </c>
      <c r="H18" s="1851" t="s">
        <v>28</v>
      </c>
      <c r="I18" s="1851" t="s">
        <v>826</v>
      </c>
    </row>
    <row customHeight="1" ht="11.25">
      <c r="A19" s="1851" t="s">
        <v>2263</v>
      </c>
      <c r="B19" s="1851" t="s">
        <v>16</v>
      </c>
      <c r="C19" s="1851" t="s">
        <v>2329</v>
      </c>
      <c r="D19" s="1851" t="s">
        <v>2330</v>
      </c>
      <c r="E19" s="1851" t="s">
        <v>2331</v>
      </c>
      <c r="F19" s="1851" t="s">
        <v>52</v>
      </c>
      <c r="G19" s="1851" t="s">
        <v>28</v>
      </c>
      <c r="H19" s="1851" t="s">
        <v>2332</v>
      </c>
      <c r="I19" s="1851" t="s">
        <v>826</v>
      </c>
    </row>
    <row customHeight="1" ht="11.25">
      <c r="A20" s="1851" t="s">
        <v>2263</v>
      </c>
      <c r="B20" s="1851" t="s">
        <v>16</v>
      </c>
      <c r="C20" s="1851" t="s">
        <v>28</v>
      </c>
      <c r="D20" s="1851" t="s">
        <v>2333</v>
      </c>
      <c r="E20" s="1851" t="s">
        <v>2334</v>
      </c>
      <c r="F20" s="1851" t="s">
        <v>52</v>
      </c>
      <c r="G20" s="1851" t="s">
        <v>28</v>
      </c>
      <c r="H20" s="1851" t="s">
        <v>28</v>
      </c>
      <c r="I20" s="1851" t="s">
        <v>826</v>
      </c>
    </row>
    <row customHeight="1" ht="11.25">
      <c r="A21" s="1851" t="s">
        <v>2263</v>
      </c>
      <c r="B21" s="1851" t="s">
        <v>16</v>
      </c>
      <c r="C21" s="1851" t="s">
        <v>2335</v>
      </c>
      <c r="D21" s="1851" t="s">
        <v>2336</v>
      </c>
      <c r="E21" s="1851" t="s">
        <v>2337</v>
      </c>
      <c r="F21" s="1851" t="s">
        <v>2338</v>
      </c>
      <c r="G21" s="1851" t="s">
        <v>2339</v>
      </c>
      <c r="H21" s="1851" t="s">
        <v>28</v>
      </c>
      <c r="I21" s="1851" t="s">
        <v>826</v>
      </c>
    </row>
    <row customHeight="1" ht="11.25">
      <c r="A22" s="1851" t="s">
        <v>2263</v>
      </c>
      <c r="B22" s="1851" t="s">
        <v>16</v>
      </c>
      <c r="C22" s="1851" t="s">
        <v>2340</v>
      </c>
      <c r="D22" s="1851" t="s">
        <v>2341</v>
      </c>
      <c r="E22" s="1851" t="s">
        <v>2342</v>
      </c>
      <c r="F22" s="1851" t="s">
        <v>594</v>
      </c>
      <c r="G22" s="1851" t="s">
        <v>2343</v>
      </c>
      <c r="H22" s="1851" t="s">
        <v>28</v>
      </c>
      <c r="I22" s="1851" t="s">
        <v>826</v>
      </c>
    </row>
    <row customHeight="1" ht="11.25">
      <c r="A23" s="1851" t="s">
        <v>2263</v>
      </c>
      <c r="B23" s="1851" t="s">
        <v>16</v>
      </c>
      <c r="C23" s="1851" t="s">
        <v>2344</v>
      </c>
      <c r="D23" s="1851" t="s">
        <v>2345</v>
      </c>
      <c r="E23" s="1851" t="s">
        <v>2346</v>
      </c>
      <c r="F23" s="1851" t="s">
        <v>594</v>
      </c>
      <c r="G23" s="1851" t="s">
        <v>2347</v>
      </c>
      <c r="H23" s="1851" t="s">
        <v>2348</v>
      </c>
      <c r="I23" s="1851" t="s">
        <v>826</v>
      </c>
    </row>
    <row customHeight="1" ht="11.25">
      <c r="A24" s="1851" t="s">
        <v>2263</v>
      </c>
      <c r="B24" s="1851" t="s">
        <v>16</v>
      </c>
      <c r="C24" s="1851" t="s">
        <v>2349</v>
      </c>
      <c r="D24" s="1851" t="s">
        <v>2350</v>
      </c>
      <c r="E24" s="1851" t="s">
        <v>2351</v>
      </c>
      <c r="F24" s="1851" t="s">
        <v>594</v>
      </c>
      <c r="G24" s="1851" t="s">
        <v>28</v>
      </c>
      <c r="H24" s="1851" t="s">
        <v>28</v>
      </c>
      <c r="I24" s="1851" t="s">
        <v>826</v>
      </c>
    </row>
    <row customHeight="1" ht="11.25">
      <c r="A25" s="1851" t="s">
        <v>2263</v>
      </c>
      <c r="B25" s="1851" t="s">
        <v>16</v>
      </c>
      <c r="C25" s="1851" t="s">
        <v>2352</v>
      </c>
      <c r="D25" s="1851" t="s">
        <v>2353</v>
      </c>
      <c r="E25" s="1851" t="s">
        <v>2354</v>
      </c>
      <c r="F25" s="1851" t="s">
        <v>594</v>
      </c>
      <c r="G25" s="1851" t="s">
        <v>28</v>
      </c>
      <c r="H25" s="1851" t="s">
        <v>28</v>
      </c>
      <c r="I25" s="1851" t="s">
        <v>826</v>
      </c>
    </row>
    <row customHeight="1" ht="11.25">
      <c r="A26" s="1851" t="s">
        <v>2263</v>
      </c>
      <c r="B26" s="1851" t="s">
        <v>16</v>
      </c>
      <c r="C26" s="1851" t="s">
        <v>2355</v>
      </c>
      <c r="D26" s="1851" t="s">
        <v>2356</v>
      </c>
      <c r="E26" s="1851" t="s">
        <v>2357</v>
      </c>
      <c r="F26" s="1851" t="s">
        <v>594</v>
      </c>
      <c r="G26" s="1851" t="s">
        <v>28</v>
      </c>
      <c r="H26" s="1851" t="s">
        <v>28</v>
      </c>
      <c r="I26" s="1851" t="s">
        <v>826</v>
      </c>
    </row>
    <row customHeight="1" ht="11.25">
      <c r="A27" s="1851" t="s">
        <v>2263</v>
      </c>
      <c r="B27" s="1851" t="s">
        <v>16</v>
      </c>
      <c r="C27" s="1851" t="s">
        <v>2358</v>
      </c>
      <c r="D27" s="1851" t="s">
        <v>2359</v>
      </c>
      <c r="E27" s="1851" t="s">
        <v>2360</v>
      </c>
      <c r="F27" s="1851" t="s">
        <v>594</v>
      </c>
      <c r="G27" s="1851" t="s">
        <v>2361</v>
      </c>
      <c r="H27" s="1851" t="s">
        <v>28</v>
      </c>
      <c r="I27" s="1851" t="s">
        <v>826</v>
      </c>
    </row>
    <row customHeight="1" ht="11.25">
      <c r="A28" s="1851" t="s">
        <v>2263</v>
      </c>
      <c r="B28" s="1851" t="s">
        <v>16</v>
      </c>
      <c r="C28" s="1851" t="s">
        <v>2362</v>
      </c>
      <c r="D28" s="1851" t="s">
        <v>2363</v>
      </c>
      <c r="E28" s="1851" t="s">
        <v>2364</v>
      </c>
      <c r="F28" s="1851" t="s">
        <v>52</v>
      </c>
      <c r="G28" s="1851" t="s">
        <v>2365</v>
      </c>
      <c r="H28" s="1851" t="s">
        <v>28</v>
      </c>
      <c r="I28" s="1851" t="s">
        <v>826</v>
      </c>
    </row>
    <row customHeight="1" ht="11.25">
      <c r="A29" s="1851" t="s">
        <v>2263</v>
      </c>
      <c r="B29" s="1851" t="s">
        <v>16</v>
      </c>
      <c r="C29" s="1851" t="s">
        <v>2366</v>
      </c>
      <c r="D29" s="1851" t="s">
        <v>2367</v>
      </c>
      <c r="E29" s="1851" t="s">
        <v>2364</v>
      </c>
      <c r="F29" s="1851" t="s">
        <v>2368</v>
      </c>
      <c r="G29" s="1851" t="s">
        <v>2369</v>
      </c>
      <c r="H29" s="1851" t="s">
        <v>28</v>
      </c>
      <c r="I29" s="1851" t="s">
        <v>826</v>
      </c>
    </row>
    <row customHeight="1" ht="11.25">
      <c r="A30" s="1851" t="s">
        <v>2263</v>
      </c>
      <c r="B30" s="1851" t="s">
        <v>16</v>
      </c>
      <c r="C30" s="1851" t="s">
        <v>2370</v>
      </c>
      <c r="D30" s="1851" t="s">
        <v>2371</v>
      </c>
      <c r="E30" s="1851" t="s">
        <v>2372</v>
      </c>
      <c r="F30" s="1851" t="s">
        <v>2373</v>
      </c>
      <c r="G30" s="1851" t="s">
        <v>2374</v>
      </c>
      <c r="H30" s="1851" t="s">
        <v>28</v>
      </c>
      <c r="I30" s="1851" t="s">
        <v>826</v>
      </c>
    </row>
    <row customHeight="1" ht="11.25">
      <c r="A31" s="1851" t="s">
        <v>2263</v>
      </c>
      <c r="B31" s="1851" t="s">
        <v>16</v>
      </c>
      <c r="C31" s="1851" t="s">
        <v>2375</v>
      </c>
      <c r="D31" s="1851" t="s">
        <v>2376</v>
      </c>
      <c r="E31" s="1851" t="s">
        <v>2372</v>
      </c>
      <c r="F31" s="1851" t="s">
        <v>2377</v>
      </c>
      <c r="G31" s="1851" t="s">
        <v>2374</v>
      </c>
      <c r="H31" s="1851" t="s">
        <v>28</v>
      </c>
      <c r="I31" s="1851" t="s">
        <v>826</v>
      </c>
    </row>
    <row customHeight="1" ht="11.25">
      <c r="A32" s="1851" t="s">
        <v>2263</v>
      </c>
      <c r="B32" s="1851" t="s">
        <v>16</v>
      </c>
      <c r="C32" s="1851" t="s">
        <v>2378</v>
      </c>
      <c r="D32" s="1851" t="s">
        <v>2379</v>
      </c>
      <c r="E32" s="1851" t="s">
        <v>2372</v>
      </c>
      <c r="F32" s="1851" t="s">
        <v>2380</v>
      </c>
      <c r="G32" s="1851" t="s">
        <v>2374</v>
      </c>
      <c r="H32" s="1851" t="s">
        <v>28</v>
      </c>
      <c r="I32" s="1851" t="s">
        <v>826</v>
      </c>
    </row>
    <row customHeight="1" ht="11.25">
      <c r="A33" s="1851" t="s">
        <v>2263</v>
      </c>
      <c r="B33" s="1851" t="s">
        <v>16</v>
      </c>
      <c r="C33" s="1851" t="s">
        <v>2381</v>
      </c>
      <c r="D33" s="1851" t="s">
        <v>2382</v>
      </c>
      <c r="E33" s="1851" t="s">
        <v>2383</v>
      </c>
      <c r="F33" s="1851" t="s">
        <v>2384</v>
      </c>
      <c r="G33" s="1851" t="s">
        <v>28</v>
      </c>
      <c r="H33" s="1851" t="s">
        <v>2385</v>
      </c>
      <c r="I33" s="1851" t="s">
        <v>826</v>
      </c>
    </row>
    <row customHeight="1" ht="11.25">
      <c r="A34" s="1851" t="s">
        <v>2263</v>
      </c>
      <c r="B34" s="1851" t="s">
        <v>16</v>
      </c>
      <c r="C34" s="1851" t="s">
        <v>2386</v>
      </c>
      <c r="D34" s="1851" t="s">
        <v>2387</v>
      </c>
      <c r="E34" s="1851" t="s">
        <v>2388</v>
      </c>
      <c r="F34" s="1851" t="s">
        <v>2389</v>
      </c>
      <c r="G34" s="1851" t="s">
        <v>2390</v>
      </c>
      <c r="H34" s="1851" t="s">
        <v>28</v>
      </c>
      <c r="I34" s="1851" t="s">
        <v>826</v>
      </c>
    </row>
    <row customHeight="1" ht="11.25">
      <c r="A35" s="1851" t="s">
        <v>2263</v>
      </c>
      <c r="B35" s="1851" t="s">
        <v>16</v>
      </c>
      <c r="C35" s="1851" t="s">
        <v>2391</v>
      </c>
      <c r="D35" s="1851" t="s">
        <v>2392</v>
      </c>
      <c r="E35" s="1851" t="s">
        <v>2393</v>
      </c>
      <c r="F35" s="1851" t="s">
        <v>2389</v>
      </c>
      <c r="G35" s="1851" t="s">
        <v>2394</v>
      </c>
      <c r="H35" s="1851" t="s">
        <v>28</v>
      </c>
      <c r="I35" s="1851" t="s">
        <v>826</v>
      </c>
    </row>
    <row customHeight="1" ht="11.25">
      <c r="A36" s="1851" t="s">
        <v>2263</v>
      </c>
      <c r="B36" s="1851" t="s">
        <v>16</v>
      </c>
      <c r="C36" s="1851" t="s">
        <v>2395</v>
      </c>
      <c r="D36" s="1851" t="s">
        <v>2396</v>
      </c>
      <c r="E36" s="1851" t="s">
        <v>2397</v>
      </c>
      <c r="F36" s="1851" t="s">
        <v>2398</v>
      </c>
      <c r="G36" s="1851" t="s">
        <v>2399</v>
      </c>
      <c r="H36" s="1851" t="s">
        <v>28</v>
      </c>
      <c r="I36" s="1851" t="s">
        <v>826</v>
      </c>
    </row>
    <row customHeight="1" ht="11.25">
      <c r="A37" s="1851" t="s">
        <v>2263</v>
      </c>
      <c r="B37" s="1851" t="s">
        <v>16</v>
      </c>
      <c r="C37" s="1851" t="s">
        <v>2400</v>
      </c>
      <c r="D37" s="1851" t="s">
        <v>2401</v>
      </c>
      <c r="E37" s="1851" t="s">
        <v>2402</v>
      </c>
      <c r="F37" s="1851" t="s">
        <v>2403</v>
      </c>
      <c r="G37" s="1851" t="s">
        <v>2404</v>
      </c>
      <c r="H37" s="1851" t="s">
        <v>28</v>
      </c>
      <c r="I37" s="1851" t="s">
        <v>826</v>
      </c>
    </row>
    <row customHeight="1" ht="11.25">
      <c r="A38" s="1851" t="s">
        <v>2263</v>
      </c>
      <c r="B38" s="1851" t="s">
        <v>16</v>
      </c>
      <c r="C38" s="1851" t="s">
        <v>2405</v>
      </c>
      <c r="D38" s="1851" t="s">
        <v>2406</v>
      </c>
      <c r="E38" s="1851" t="s">
        <v>2407</v>
      </c>
      <c r="F38" s="1851" t="s">
        <v>2389</v>
      </c>
      <c r="G38" s="1851" t="s">
        <v>2408</v>
      </c>
      <c r="H38" s="1851" t="s">
        <v>28</v>
      </c>
      <c r="I38" s="1851" t="s">
        <v>826</v>
      </c>
    </row>
    <row customHeight="1" ht="11.25">
      <c r="A39" s="1851" t="s">
        <v>2263</v>
      </c>
      <c r="B39" s="1851" t="s">
        <v>16</v>
      </c>
      <c r="C39" s="1851" t="s">
        <v>2409</v>
      </c>
      <c r="D39" s="1851" t="s">
        <v>2410</v>
      </c>
      <c r="E39" s="1851" t="s">
        <v>2411</v>
      </c>
      <c r="F39" s="1851" t="s">
        <v>2412</v>
      </c>
      <c r="G39" s="1851" t="s">
        <v>2413</v>
      </c>
      <c r="H39" s="1851" t="s">
        <v>28</v>
      </c>
      <c r="I39" s="1851" t="s">
        <v>826</v>
      </c>
    </row>
    <row customHeight="1" ht="11.25">
      <c r="A40" s="1851" t="s">
        <v>2263</v>
      </c>
      <c r="B40" s="1851" t="s">
        <v>16</v>
      </c>
      <c r="C40" s="1851" t="s">
        <v>2414</v>
      </c>
      <c r="D40" s="1851" t="s">
        <v>2415</v>
      </c>
      <c r="E40" s="1851" t="s">
        <v>2416</v>
      </c>
      <c r="F40" s="1851" t="s">
        <v>2389</v>
      </c>
      <c r="G40" s="1851" t="s">
        <v>2417</v>
      </c>
      <c r="H40" s="1851" t="s">
        <v>28</v>
      </c>
      <c r="I40" s="1851" t="s">
        <v>826</v>
      </c>
    </row>
    <row customHeight="1" ht="11.25">
      <c r="A41" s="1851" t="s">
        <v>2263</v>
      </c>
      <c r="B41" s="1851" t="s">
        <v>16</v>
      </c>
      <c r="C41" s="1851" t="s">
        <v>2418</v>
      </c>
      <c r="D41" s="1851" t="s">
        <v>2419</v>
      </c>
      <c r="E41" s="1851" t="s">
        <v>2420</v>
      </c>
      <c r="F41" s="1851" t="s">
        <v>2421</v>
      </c>
      <c r="G41" s="1851" t="s">
        <v>2422</v>
      </c>
      <c r="H41" s="1851" t="s">
        <v>28</v>
      </c>
      <c r="I41" s="1851" t="s">
        <v>826</v>
      </c>
    </row>
    <row customHeight="1" ht="11.25">
      <c r="A42" s="1851" t="s">
        <v>2263</v>
      </c>
      <c r="B42" s="1851" t="s">
        <v>16</v>
      </c>
      <c r="C42" s="1851" t="s">
        <v>2423</v>
      </c>
      <c r="D42" s="1851" t="s">
        <v>2424</v>
      </c>
      <c r="E42" s="1851" t="s">
        <v>2425</v>
      </c>
      <c r="F42" s="1851" t="s">
        <v>2291</v>
      </c>
      <c r="G42" s="1851" t="s">
        <v>28</v>
      </c>
      <c r="H42" s="1851" t="s">
        <v>2426</v>
      </c>
      <c r="I42" s="1851" t="s">
        <v>826</v>
      </c>
    </row>
    <row customHeight="1" ht="11.25">
      <c r="A43" s="1851" t="s">
        <v>2263</v>
      </c>
      <c r="B43" s="1851" t="s">
        <v>16</v>
      </c>
      <c r="C43" s="1851" t="s">
        <v>2427</v>
      </c>
      <c r="D43" s="1851" t="s">
        <v>2428</v>
      </c>
      <c r="E43" s="1851" t="s">
        <v>2429</v>
      </c>
      <c r="F43" s="1851" t="s">
        <v>2291</v>
      </c>
      <c r="G43" s="1851" t="s">
        <v>2430</v>
      </c>
      <c r="H43" s="1851" t="s">
        <v>2431</v>
      </c>
      <c r="I43" s="1851" t="s">
        <v>826</v>
      </c>
    </row>
    <row customHeight="1" ht="11.25">
      <c r="A44" s="1851" t="s">
        <v>2263</v>
      </c>
      <c r="B44" s="1851" t="s">
        <v>16</v>
      </c>
      <c r="C44" s="1851" t="s">
        <v>2432</v>
      </c>
      <c r="D44" s="1851" t="s">
        <v>2433</v>
      </c>
      <c r="E44" s="1851" t="s">
        <v>2434</v>
      </c>
      <c r="F44" s="1851" t="s">
        <v>2309</v>
      </c>
      <c r="G44" s="1851" t="s">
        <v>2435</v>
      </c>
      <c r="H44" s="1851" t="s">
        <v>28</v>
      </c>
      <c r="I44" s="1851" t="s">
        <v>826</v>
      </c>
    </row>
    <row customHeight="1" ht="11.25">
      <c r="A45" s="1851" t="s">
        <v>2263</v>
      </c>
      <c r="B45" s="1851" t="s">
        <v>16</v>
      </c>
      <c r="C45" s="1851" t="s">
        <v>2436</v>
      </c>
      <c r="D45" s="1851" t="s">
        <v>2437</v>
      </c>
      <c r="E45" s="1851" t="s">
        <v>2438</v>
      </c>
      <c r="F45" s="1851" t="s">
        <v>2309</v>
      </c>
      <c r="G45" s="1851" t="s">
        <v>2439</v>
      </c>
      <c r="H45" s="1851" t="s">
        <v>28</v>
      </c>
      <c r="I45" s="1851" t="s">
        <v>826</v>
      </c>
    </row>
    <row customHeight="1" ht="11.25">
      <c r="A46" s="1851" t="s">
        <v>2263</v>
      </c>
      <c r="B46" s="1851" t="s">
        <v>16</v>
      </c>
      <c r="C46" s="1851" t="s">
        <v>2440</v>
      </c>
      <c r="D46" s="1851" t="s">
        <v>2441</v>
      </c>
      <c r="E46" s="1851" t="s">
        <v>2442</v>
      </c>
      <c r="F46" s="1851" t="s">
        <v>2309</v>
      </c>
      <c r="G46" s="1851" t="s">
        <v>2443</v>
      </c>
      <c r="H46" s="1851" t="s">
        <v>28</v>
      </c>
      <c r="I46" s="1851" t="s">
        <v>826</v>
      </c>
    </row>
    <row customHeight="1" ht="11.25">
      <c r="A47" s="1851" t="s">
        <v>2263</v>
      </c>
      <c r="B47" s="1851" t="s">
        <v>16</v>
      </c>
      <c r="C47" s="1851" t="s">
        <v>2444</v>
      </c>
      <c r="D47" s="1851" t="s">
        <v>2445</v>
      </c>
      <c r="E47" s="1851" t="s">
        <v>2446</v>
      </c>
      <c r="F47" s="1851" t="s">
        <v>2421</v>
      </c>
      <c r="G47" s="1851" t="s">
        <v>2447</v>
      </c>
      <c r="H47" s="1851" t="s">
        <v>2390</v>
      </c>
      <c r="I47" s="1851" t="s">
        <v>826</v>
      </c>
    </row>
    <row customHeight="1" ht="11.25">
      <c r="A48" s="1851" t="s">
        <v>2263</v>
      </c>
      <c r="B48" s="1851" t="s">
        <v>16</v>
      </c>
      <c r="C48" s="1851" t="s">
        <v>2448</v>
      </c>
      <c r="D48" s="1851" t="s">
        <v>2449</v>
      </c>
      <c r="E48" s="1851" t="s">
        <v>2450</v>
      </c>
      <c r="F48" s="1851" t="s">
        <v>2451</v>
      </c>
      <c r="G48" s="1851" t="s">
        <v>2452</v>
      </c>
      <c r="H48" s="1851" t="s">
        <v>28</v>
      </c>
      <c r="I48" s="1851" t="s">
        <v>826</v>
      </c>
    </row>
    <row customHeight="1" ht="11.25">
      <c r="A49" s="1851" t="s">
        <v>2263</v>
      </c>
      <c r="B49" s="1851" t="s">
        <v>16</v>
      </c>
      <c r="C49" s="1851" t="s">
        <v>2453</v>
      </c>
      <c r="D49" s="1851" t="s">
        <v>2454</v>
      </c>
      <c r="E49" s="1851" t="s">
        <v>2455</v>
      </c>
      <c r="F49" s="1851" t="s">
        <v>2403</v>
      </c>
      <c r="G49" s="1851" t="s">
        <v>2456</v>
      </c>
      <c r="H49" s="1851" t="s">
        <v>2457</v>
      </c>
      <c r="I49" s="1851" t="s">
        <v>826</v>
      </c>
    </row>
    <row customHeight="1" ht="11.25">
      <c r="A50" s="1851" t="s">
        <v>2263</v>
      </c>
      <c r="B50" s="1851" t="s">
        <v>16</v>
      </c>
      <c r="C50" s="1851" t="s">
        <v>2458</v>
      </c>
      <c r="D50" s="1851" t="s">
        <v>2459</v>
      </c>
      <c r="E50" s="1851" t="s">
        <v>2460</v>
      </c>
      <c r="F50" s="1851" t="s">
        <v>52</v>
      </c>
      <c r="G50" s="1851" t="s">
        <v>2461</v>
      </c>
      <c r="H50" s="1851" t="s">
        <v>2462</v>
      </c>
      <c r="I50" s="1851" t="s">
        <v>826</v>
      </c>
    </row>
    <row customHeight="1" ht="11.25">
      <c r="A51" s="1851" t="s">
        <v>2263</v>
      </c>
      <c r="B51" s="1851" t="s">
        <v>16</v>
      </c>
      <c r="C51" s="1851" t="s">
        <v>2463</v>
      </c>
      <c r="D51" s="1851" t="s">
        <v>2464</v>
      </c>
      <c r="E51" s="1851" t="s">
        <v>2465</v>
      </c>
      <c r="F51" s="1851" t="s">
        <v>2466</v>
      </c>
      <c r="G51" s="1851" t="s">
        <v>28</v>
      </c>
      <c r="H51" s="1851" t="s">
        <v>2385</v>
      </c>
      <c r="I51" s="1851" t="s">
        <v>826</v>
      </c>
    </row>
    <row customHeight="1" ht="11.25">
      <c r="A52" s="1851" t="s">
        <v>2263</v>
      </c>
      <c r="B52" s="1851" t="s">
        <v>16</v>
      </c>
      <c r="C52" s="1851" t="s">
        <v>2467</v>
      </c>
      <c r="D52" s="1851" t="s">
        <v>2468</v>
      </c>
      <c r="E52" s="1851" t="s">
        <v>2469</v>
      </c>
      <c r="F52" s="1851" t="s">
        <v>2470</v>
      </c>
      <c r="G52" s="1851" t="s">
        <v>2471</v>
      </c>
      <c r="H52" s="1851" t="s">
        <v>28</v>
      </c>
      <c r="I52" s="1851" t="s">
        <v>826</v>
      </c>
    </row>
    <row customHeight="1" ht="11.25">
      <c r="A53" s="1851" t="s">
        <v>2263</v>
      </c>
      <c r="B53" s="1851" t="s">
        <v>16</v>
      </c>
      <c r="C53" s="1851" t="s">
        <v>2472</v>
      </c>
      <c r="D53" s="1851" t="s">
        <v>2473</v>
      </c>
      <c r="E53" s="1851" t="s">
        <v>2474</v>
      </c>
      <c r="F53" s="1851" t="s">
        <v>2475</v>
      </c>
      <c r="G53" s="1851" t="s">
        <v>28</v>
      </c>
      <c r="H53" s="1851" t="s">
        <v>2476</v>
      </c>
      <c r="I53" s="1851" t="s">
        <v>826</v>
      </c>
    </row>
    <row customHeight="1" ht="11.25">
      <c r="A54" s="1851" t="s">
        <v>2263</v>
      </c>
      <c r="B54" s="1851" t="s">
        <v>16</v>
      </c>
      <c r="C54" s="1851" t="s">
        <v>2477</v>
      </c>
      <c r="D54" s="1851" t="s">
        <v>2478</v>
      </c>
      <c r="E54" s="1851" t="s">
        <v>2479</v>
      </c>
      <c r="F54" s="1851" t="s">
        <v>2466</v>
      </c>
      <c r="G54" s="1851" t="s">
        <v>28</v>
      </c>
      <c r="H54" s="1851" t="s">
        <v>2480</v>
      </c>
      <c r="I54" s="1851" t="s">
        <v>826</v>
      </c>
    </row>
    <row customHeight="1" ht="11.25">
      <c r="A55" s="1851" t="s">
        <v>2263</v>
      </c>
      <c r="B55" s="1851" t="s">
        <v>16</v>
      </c>
      <c r="C55" s="1851" t="s">
        <v>2481</v>
      </c>
      <c r="D55" s="1851" t="s">
        <v>2482</v>
      </c>
      <c r="E55" s="1851" t="s">
        <v>2483</v>
      </c>
      <c r="F55" s="1851" t="s">
        <v>2470</v>
      </c>
      <c r="G55" s="1851" t="s">
        <v>2484</v>
      </c>
      <c r="H55" s="1851" t="s">
        <v>28</v>
      </c>
      <c r="I55" s="1851" t="s">
        <v>826</v>
      </c>
    </row>
    <row customHeight="1" ht="11.25">
      <c r="A56" s="1851" t="s">
        <v>2263</v>
      </c>
      <c r="B56" s="1851" t="s">
        <v>16</v>
      </c>
      <c r="C56" s="1851" t="s">
        <v>2485</v>
      </c>
      <c r="D56" s="1851" t="s">
        <v>2486</v>
      </c>
      <c r="E56" s="1851" t="s">
        <v>2487</v>
      </c>
      <c r="F56" s="1851" t="s">
        <v>2488</v>
      </c>
      <c r="G56" s="1851" t="s">
        <v>28</v>
      </c>
      <c r="H56" s="1851" t="s">
        <v>2489</v>
      </c>
      <c r="I56" s="1851" t="s">
        <v>826</v>
      </c>
    </row>
    <row customHeight="1" ht="11.25">
      <c r="A57" s="1851" t="s">
        <v>2263</v>
      </c>
      <c r="B57" s="1851" t="s">
        <v>16</v>
      </c>
      <c r="C57" s="1851" t="s">
        <v>2490</v>
      </c>
      <c r="D57" s="1851" t="s">
        <v>2491</v>
      </c>
      <c r="E57" s="1851" t="s">
        <v>2492</v>
      </c>
      <c r="F57" s="1851" t="s">
        <v>2493</v>
      </c>
      <c r="G57" s="1851" t="s">
        <v>2494</v>
      </c>
      <c r="H57" s="1851" t="s">
        <v>2495</v>
      </c>
      <c r="I57" s="1851" t="s">
        <v>826</v>
      </c>
    </row>
    <row customHeight="1" ht="11.25">
      <c r="A58" s="1851" t="s">
        <v>2263</v>
      </c>
      <c r="B58" s="1851" t="s">
        <v>16</v>
      </c>
      <c r="C58" s="1851" t="s">
        <v>2496</v>
      </c>
      <c r="D58" s="1851" t="s">
        <v>2497</v>
      </c>
      <c r="E58" s="1851" t="s">
        <v>2498</v>
      </c>
      <c r="F58" s="1851" t="s">
        <v>2314</v>
      </c>
      <c r="G58" s="1851" t="s">
        <v>2499</v>
      </c>
      <c r="H58" s="1851" t="s">
        <v>28</v>
      </c>
      <c r="I58" s="1851" t="s">
        <v>826</v>
      </c>
    </row>
    <row customHeight="1" ht="11.25">
      <c r="A59" s="1851" t="s">
        <v>2263</v>
      </c>
      <c r="B59" s="1851" t="s">
        <v>16</v>
      </c>
      <c r="C59" s="1851" t="s">
        <v>2500</v>
      </c>
      <c r="D59" s="1851" t="s">
        <v>2501</v>
      </c>
      <c r="E59" s="1851" t="s">
        <v>2502</v>
      </c>
      <c r="F59" s="1851" t="s">
        <v>2503</v>
      </c>
      <c r="G59" s="1851" t="s">
        <v>2504</v>
      </c>
      <c r="H59" s="1851" t="s">
        <v>28</v>
      </c>
      <c r="I59" s="1851" t="s">
        <v>826</v>
      </c>
    </row>
    <row customHeight="1" ht="11.25">
      <c r="A60" s="1851" t="s">
        <v>2263</v>
      </c>
      <c r="B60" s="1851" t="s">
        <v>16</v>
      </c>
      <c r="C60" s="1851" t="s">
        <v>2505</v>
      </c>
      <c r="D60" s="1851" t="s">
        <v>2506</v>
      </c>
      <c r="E60" s="1851" t="s">
        <v>2507</v>
      </c>
      <c r="F60" s="1851" t="s">
        <v>2475</v>
      </c>
      <c r="G60" s="1851" t="s">
        <v>2508</v>
      </c>
      <c r="H60" s="1851" t="s">
        <v>28</v>
      </c>
      <c r="I60" s="1851" t="s">
        <v>826</v>
      </c>
    </row>
    <row customHeight="1" ht="11.25">
      <c r="A61" s="1851" t="s">
        <v>2263</v>
      </c>
      <c r="B61" s="1851" t="s">
        <v>16</v>
      </c>
      <c r="C61" s="1851" t="s">
        <v>2509</v>
      </c>
      <c r="D61" s="1851" t="s">
        <v>2510</v>
      </c>
      <c r="E61" s="1851" t="s">
        <v>2511</v>
      </c>
      <c r="F61" s="1851" t="s">
        <v>2403</v>
      </c>
      <c r="G61" s="1851" t="s">
        <v>28</v>
      </c>
      <c r="H61" s="1851" t="s">
        <v>28</v>
      </c>
      <c r="I61" s="1851" t="s">
        <v>826</v>
      </c>
    </row>
    <row customHeight="1" ht="11.25">
      <c r="A62" s="1851" t="s">
        <v>2263</v>
      </c>
      <c r="B62" s="1851" t="s">
        <v>16</v>
      </c>
      <c r="C62" s="1851" t="s">
        <v>2512</v>
      </c>
      <c r="D62" s="1851" t="s">
        <v>2513</v>
      </c>
      <c r="E62" s="1851" t="s">
        <v>50</v>
      </c>
      <c r="F62" s="1851" t="s">
        <v>2514</v>
      </c>
      <c r="G62" s="1851" t="s">
        <v>2515</v>
      </c>
      <c r="H62" s="1851" t="s">
        <v>28</v>
      </c>
      <c r="I62" s="1851" t="s">
        <v>826</v>
      </c>
    </row>
    <row customHeight="1" ht="11.25">
      <c r="A63" s="1851" t="s">
        <v>2263</v>
      </c>
      <c r="B63" s="1851" t="s">
        <v>16</v>
      </c>
      <c r="C63" s="1851" t="s">
        <v>2516</v>
      </c>
      <c r="D63" s="1851" t="s">
        <v>2517</v>
      </c>
      <c r="E63" s="1851" t="s">
        <v>50</v>
      </c>
      <c r="F63" s="1851" t="s">
        <v>2518</v>
      </c>
      <c r="G63" s="1851" t="s">
        <v>2515</v>
      </c>
      <c r="H63" s="1851" t="s">
        <v>28</v>
      </c>
      <c r="I63" s="1851" t="s">
        <v>826</v>
      </c>
    </row>
    <row customHeight="1" ht="11.25">
      <c r="A64" s="1851" t="s">
        <v>2263</v>
      </c>
      <c r="B64" s="1851" t="s">
        <v>16</v>
      </c>
      <c r="C64" s="1851" t="s">
        <v>2519</v>
      </c>
      <c r="D64" s="1851" t="s">
        <v>2520</v>
      </c>
      <c r="E64" s="1851" t="s">
        <v>2521</v>
      </c>
      <c r="F64" s="1851" t="s">
        <v>2314</v>
      </c>
      <c r="G64" s="1851" t="s">
        <v>2522</v>
      </c>
      <c r="H64" s="1851" t="s">
        <v>28</v>
      </c>
      <c r="I64" s="1851" t="s">
        <v>826</v>
      </c>
    </row>
    <row customHeight="1" ht="11.25">
      <c r="A65" s="1851" t="s">
        <v>2263</v>
      </c>
      <c r="B65" s="1851" t="s">
        <v>16</v>
      </c>
      <c r="C65" s="1851" t="s">
        <v>2523</v>
      </c>
      <c r="D65" s="1851" t="s">
        <v>2524</v>
      </c>
      <c r="E65" s="1851" t="s">
        <v>2525</v>
      </c>
      <c r="F65" s="1851" t="s">
        <v>2314</v>
      </c>
      <c r="G65" s="1851" t="s">
        <v>2526</v>
      </c>
      <c r="H65" s="1851" t="s">
        <v>28</v>
      </c>
      <c r="I65" s="1851" t="s">
        <v>826</v>
      </c>
    </row>
    <row customHeight="1" ht="11.25">
      <c r="A66" s="1851" t="s">
        <v>2263</v>
      </c>
      <c r="B66" s="1851" t="s">
        <v>16</v>
      </c>
      <c r="C66" s="1851" t="s">
        <v>2527</v>
      </c>
      <c r="D66" s="1851" t="s">
        <v>2528</v>
      </c>
      <c r="E66" s="1851" t="s">
        <v>2529</v>
      </c>
      <c r="F66" s="1851" t="s">
        <v>2530</v>
      </c>
      <c r="G66" s="1851" t="s">
        <v>2531</v>
      </c>
      <c r="H66" s="1851" t="s">
        <v>28</v>
      </c>
      <c r="I66" s="1851" t="s">
        <v>826</v>
      </c>
    </row>
    <row customHeight="1" ht="11.25">
      <c r="A67" s="1851" t="s">
        <v>2263</v>
      </c>
      <c r="B67" s="1851" t="s">
        <v>16</v>
      </c>
      <c r="C67" s="1851" t="s">
        <v>2532</v>
      </c>
      <c r="D67" s="1851" t="s">
        <v>2533</v>
      </c>
      <c r="E67" s="1851" t="s">
        <v>2534</v>
      </c>
      <c r="F67" s="1851" t="s">
        <v>2535</v>
      </c>
      <c r="G67" s="1851" t="s">
        <v>2536</v>
      </c>
      <c r="H67" s="1851" t="s">
        <v>28</v>
      </c>
      <c r="I67" s="1851" t="s">
        <v>826</v>
      </c>
    </row>
    <row customHeight="1" ht="11.25">
      <c r="A68" s="1851" t="s">
        <v>2263</v>
      </c>
      <c r="B68" s="1851" t="s">
        <v>16</v>
      </c>
      <c r="C68" s="1851" t="s">
        <v>2537</v>
      </c>
      <c r="D68" s="1851" t="s">
        <v>2538</v>
      </c>
      <c r="E68" s="1851" t="s">
        <v>2539</v>
      </c>
      <c r="F68" s="1851" t="s">
        <v>2384</v>
      </c>
      <c r="G68" s="1851" t="s">
        <v>28</v>
      </c>
      <c r="H68" s="1851" t="s">
        <v>28</v>
      </c>
      <c r="I68" s="1851" t="s">
        <v>826</v>
      </c>
    </row>
    <row customHeight="1" ht="11.25">
      <c r="A69" s="1851" t="s">
        <v>2263</v>
      </c>
      <c r="B69" s="1851" t="s">
        <v>16</v>
      </c>
      <c r="C69" s="1851" t="s">
        <v>2540</v>
      </c>
      <c r="D69" s="1851" t="s">
        <v>2541</v>
      </c>
      <c r="E69" s="1851" t="s">
        <v>2542</v>
      </c>
      <c r="F69" s="1851" t="s">
        <v>2291</v>
      </c>
      <c r="G69" s="1851" t="s">
        <v>2543</v>
      </c>
      <c r="H69" s="1851" t="s">
        <v>28</v>
      </c>
      <c r="I69" s="1851" t="s">
        <v>826</v>
      </c>
    </row>
    <row customHeight="1" ht="11.25">
      <c r="A70" s="1851" t="s">
        <v>2263</v>
      </c>
      <c r="B70" s="1851" t="s">
        <v>16</v>
      </c>
      <c r="C70" s="1851" t="s">
        <v>2544</v>
      </c>
      <c r="D70" s="1851" t="s">
        <v>2545</v>
      </c>
      <c r="E70" s="1851" t="s">
        <v>2546</v>
      </c>
      <c r="F70" s="1851" t="s">
        <v>2547</v>
      </c>
      <c r="G70" s="1851" t="s">
        <v>2548</v>
      </c>
      <c r="H70" s="1851" t="s">
        <v>28</v>
      </c>
      <c r="I70" s="1851" t="s">
        <v>826</v>
      </c>
    </row>
    <row customHeight="1" ht="11.25">
      <c r="A71" s="1851" t="s">
        <v>2263</v>
      </c>
      <c r="B71" s="1851" t="s">
        <v>16</v>
      </c>
      <c r="C71" s="1851" t="s">
        <v>2549</v>
      </c>
      <c r="D71" s="1851" t="s">
        <v>2550</v>
      </c>
      <c r="E71" s="1851" t="s">
        <v>2551</v>
      </c>
      <c r="F71" s="1851" t="s">
        <v>2466</v>
      </c>
      <c r="G71" s="1851" t="s">
        <v>2552</v>
      </c>
      <c r="H71" s="1851" t="s">
        <v>28</v>
      </c>
      <c r="I71" s="1851" t="s">
        <v>826</v>
      </c>
    </row>
    <row customHeight="1" ht="11.25">
      <c r="A72" s="1851" t="s">
        <v>2263</v>
      </c>
      <c r="B72" s="1851" t="s">
        <v>16</v>
      </c>
      <c r="C72" s="1851" t="s">
        <v>2553</v>
      </c>
      <c r="D72" s="1851" t="s">
        <v>2554</v>
      </c>
      <c r="E72" s="1851" t="s">
        <v>2555</v>
      </c>
      <c r="F72" s="1851" t="s">
        <v>2466</v>
      </c>
      <c r="G72" s="1851" t="s">
        <v>28</v>
      </c>
      <c r="H72" s="1851" t="s">
        <v>2556</v>
      </c>
      <c r="I72" s="1851" t="s">
        <v>826</v>
      </c>
    </row>
    <row customHeight="1" ht="11.25">
      <c r="A73" s="1851" t="s">
        <v>2263</v>
      </c>
      <c r="B73" s="1851" t="s">
        <v>16</v>
      </c>
      <c r="C73" s="1851" t="s">
        <v>2557</v>
      </c>
      <c r="D73" s="1851" t="s">
        <v>2558</v>
      </c>
      <c r="E73" s="1851" t="s">
        <v>2559</v>
      </c>
      <c r="F73" s="1851" t="s">
        <v>52</v>
      </c>
      <c r="G73" s="1851" t="s">
        <v>28</v>
      </c>
      <c r="H73" s="1851" t="s">
        <v>28</v>
      </c>
      <c r="I73" s="1851" t="s">
        <v>826</v>
      </c>
    </row>
    <row customHeight="1" ht="11.25">
      <c r="A74" s="1851" t="s">
        <v>2263</v>
      </c>
      <c r="B74" s="1851" t="s">
        <v>16</v>
      </c>
      <c r="C74" s="1851" t="s">
        <v>2560</v>
      </c>
      <c r="D74" s="1851" t="s">
        <v>2561</v>
      </c>
      <c r="E74" s="1851" t="s">
        <v>2562</v>
      </c>
      <c r="F74" s="1851" t="s">
        <v>2389</v>
      </c>
      <c r="G74" s="1851" t="s">
        <v>2563</v>
      </c>
      <c r="H74" s="1851" t="s">
        <v>28</v>
      </c>
      <c r="I74" s="1851" t="s">
        <v>826</v>
      </c>
    </row>
    <row customHeight="1" ht="11.25">
      <c r="A75" s="1851" t="s">
        <v>2263</v>
      </c>
      <c r="B75" s="1851" t="s">
        <v>16</v>
      </c>
      <c r="C75" s="1851" t="s">
        <v>2564</v>
      </c>
      <c r="D75" s="1851" t="s">
        <v>2565</v>
      </c>
      <c r="E75" s="1851" t="s">
        <v>2566</v>
      </c>
      <c r="F75" s="1851" t="s">
        <v>2493</v>
      </c>
      <c r="G75" s="1851" t="s">
        <v>2567</v>
      </c>
      <c r="H75" s="1851" t="s">
        <v>28</v>
      </c>
      <c r="I75" s="1851" t="s">
        <v>826</v>
      </c>
    </row>
    <row customHeight="1" ht="11.25">
      <c r="A76" s="1851" t="s">
        <v>2263</v>
      </c>
      <c r="B76" s="1851" t="s">
        <v>16</v>
      </c>
      <c r="C76" s="1851" t="s">
        <v>2568</v>
      </c>
      <c r="D76" s="1851" t="s">
        <v>2569</v>
      </c>
      <c r="E76" s="1851" t="s">
        <v>2570</v>
      </c>
      <c r="F76" s="1851" t="s">
        <v>52</v>
      </c>
      <c r="G76" s="1851" t="s">
        <v>2571</v>
      </c>
      <c r="H76" s="1851" t="s">
        <v>2572</v>
      </c>
      <c r="I76" s="1851" t="s">
        <v>826</v>
      </c>
    </row>
    <row customHeight="1" ht="11.25">
      <c r="A77" s="1851" t="s">
        <v>2263</v>
      </c>
      <c r="B77" s="1851" t="s">
        <v>16</v>
      </c>
      <c r="C77" s="1851" t="s">
        <v>2573</v>
      </c>
      <c r="D77" s="1851" t="s">
        <v>2574</v>
      </c>
      <c r="E77" s="1851" t="s">
        <v>2575</v>
      </c>
      <c r="F77" s="1851" t="s">
        <v>2314</v>
      </c>
      <c r="G77" s="1851" t="s">
        <v>2576</v>
      </c>
      <c r="H77" s="1851" t="s">
        <v>28</v>
      </c>
      <c r="I77" s="1851" t="s">
        <v>826</v>
      </c>
    </row>
    <row customHeight="1" ht="11.25">
      <c r="A78" s="1851" t="s">
        <v>2263</v>
      </c>
      <c r="B78" s="1851" t="s">
        <v>16</v>
      </c>
      <c r="C78" s="1851" t="s">
        <v>2577</v>
      </c>
      <c r="D78" s="1851" t="s">
        <v>2578</v>
      </c>
      <c r="E78" s="1851" t="s">
        <v>2579</v>
      </c>
      <c r="F78" s="1851" t="s">
        <v>2466</v>
      </c>
      <c r="G78" s="1851" t="s">
        <v>2580</v>
      </c>
      <c r="H78" s="1851" t="s">
        <v>28</v>
      </c>
      <c r="I78" s="1851" t="s">
        <v>826</v>
      </c>
    </row>
    <row customHeight="1" ht="11.25">
      <c r="A79" s="1851" t="s">
        <v>2263</v>
      </c>
      <c r="B79" s="1851" t="s">
        <v>16</v>
      </c>
      <c r="C79" s="1851" t="s">
        <v>2581</v>
      </c>
      <c r="D79" s="1851" t="s">
        <v>2582</v>
      </c>
      <c r="E79" s="1851" t="s">
        <v>2583</v>
      </c>
      <c r="F79" s="1851" t="s">
        <v>52</v>
      </c>
      <c r="G79" s="1851" t="s">
        <v>2584</v>
      </c>
      <c r="H79" s="1851" t="s">
        <v>28</v>
      </c>
      <c r="I79" s="1851" t="s">
        <v>826</v>
      </c>
    </row>
    <row customHeight="1" ht="11.25">
      <c r="A80" s="1851" t="s">
        <v>2263</v>
      </c>
      <c r="B80" s="1851" t="s">
        <v>16</v>
      </c>
      <c r="C80" s="1851" t="s">
        <v>2585</v>
      </c>
      <c r="D80" s="1851" t="s">
        <v>2586</v>
      </c>
      <c r="E80" s="1851" t="s">
        <v>2587</v>
      </c>
      <c r="F80" s="1851" t="s">
        <v>2588</v>
      </c>
      <c r="G80" s="1851" t="s">
        <v>2589</v>
      </c>
      <c r="H80" s="1851" t="s">
        <v>28</v>
      </c>
      <c r="I80" s="1851" t="s">
        <v>826</v>
      </c>
    </row>
    <row customHeight="1" ht="11.25">
      <c r="A81" s="1851" t="s">
        <v>2263</v>
      </c>
      <c r="B81" s="1851" t="s">
        <v>16</v>
      </c>
      <c r="C81" s="1851" t="s">
        <v>2590</v>
      </c>
      <c r="D81" s="1851" t="s">
        <v>2591</v>
      </c>
      <c r="E81" s="1851" t="s">
        <v>2592</v>
      </c>
      <c r="F81" s="1851" t="s">
        <v>2389</v>
      </c>
      <c r="G81" s="1851" t="s">
        <v>2495</v>
      </c>
      <c r="H81" s="1851" t="s">
        <v>28</v>
      </c>
      <c r="I81" s="1851" t="s">
        <v>826</v>
      </c>
    </row>
    <row customHeight="1" ht="11.25">
      <c r="A82" s="1851" t="s">
        <v>2263</v>
      </c>
      <c r="B82" s="1851" t="s">
        <v>16</v>
      </c>
      <c r="C82" s="1851" t="s">
        <v>2593</v>
      </c>
      <c r="D82" s="1851" t="s">
        <v>2594</v>
      </c>
      <c r="E82" s="1851" t="s">
        <v>2595</v>
      </c>
      <c r="F82" s="1851" t="s">
        <v>2503</v>
      </c>
      <c r="G82" s="1851" t="s">
        <v>2596</v>
      </c>
      <c r="H82" s="1851" t="s">
        <v>28</v>
      </c>
      <c r="I82" s="1851" t="s">
        <v>826</v>
      </c>
    </row>
    <row customHeight="1" ht="11.25">
      <c r="A83" s="1851" t="s">
        <v>2263</v>
      </c>
      <c r="B83" s="1851" t="s">
        <v>16</v>
      </c>
      <c r="C83" s="1851" t="s">
        <v>2597</v>
      </c>
      <c r="D83" s="1851" t="s">
        <v>2598</v>
      </c>
      <c r="E83" s="1851" t="s">
        <v>2599</v>
      </c>
      <c r="F83" s="1851" t="s">
        <v>52</v>
      </c>
      <c r="G83" s="1851" t="s">
        <v>28</v>
      </c>
      <c r="H83" s="1851" t="s">
        <v>28</v>
      </c>
      <c r="I83" s="1851" t="s">
        <v>826</v>
      </c>
    </row>
    <row customHeight="1" ht="11.25">
      <c r="A84" s="1851" t="s">
        <v>2263</v>
      </c>
      <c r="B84" s="1851" t="s">
        <v>16</v>
      </c>
      <c r="C84" s="1851" t="s">
        <v>2600</v>
      </c>
      <c r="D84" s="1851" t="s">
        <v>2601</v>
      </c>
      <c r="E84" s="1851" t="s">
        <v>2602</v>
      </c>
      <c r="F84" s="1851" t="s">
        <v>2389</v>
      </c>
      <c r="G84" s="1851" t="s">
        <v>2462</v>
      </c>
      <c r="H84" s="1851" t="s">
        <v>28</v>
      </c>
      <c r="I84" s="1851" t="s">
        <v>826</v>
      </c>
    </row>
    <row customHeight="1" ht="11.25">
      <c r="A85" s="1851" t="s">
        <v>2263</v>
      </c>
      <c r="B85" s="1851" t="s">
        <v>16</v>
      </c>
      <c r="C85" s="1851" t="s">
        <v>2603</v>
      </c>
      <c r="D85" s="1851" t="s">
        <v>2604</v>
      </c>
      <c r="E85" s="1851" t="s">
        <v>2605</v>
      </c>
      <c r="F85" s="1851" t="s">
        <v>2291</v>
      </c>
      <c r="G85" s="1851" t="s">
        <v>2606</v>
      </c>
      <c r="H85" s="1851" t="s">
        <v>28</v>
      </c>
      <c r="I85" s="1851" t="s">
        <v>826</v>
      </c>
    </row>
    <row customHeight="1" ht="11.25">
      <c r="A86" s="1851" t="s">
        <v>2263</v>
      </c>
      <c r="B86" s="1851" t="s">
        <v>16</v>
      </c>
      <c r="C86" s="1851" t="s">
        <v>2607</v>
      </c>
      <c r="D86" s="1851" t="s">
        <v>2608</v>
      </c>
      <c r="E86" s="1851" t="s">
        <v>2609</v>
      </c>
      <c r="F86" s="1851" t="s">
        <v>52</v>
      </c>
      <c r="G86" s="1851" t="s">
        <v>2610</v>
      </c>
      <c r="H86" s="1851" t="s">
        <v>28</v>
      </c>
      <c r="I86" s="1851" t="s">
        <v>826</v>
      </c>
    </row>
    <row customHeight="1" ht="11.25">
      <c r="A87" s="1851" t="s">
        <v>2263</v>
      </c>
      <c r="B87" s="1851" t="s">
        <v>16</v>
      </c>
      <c r="C87" s="1851" t="s">
        <v>2611</v>
      </c>
      <c r="D87" s="1851" t="s">
        <v>2612</v>
      </c>
      <c r="E87" s="1851" t="s">
        <v>2613</v>
      </c>
      <c r="F87" s="1851" t="s">
        <v>2389</v>
      </c>
      <c r="G87" s="1851" t="s">
        <v>2431</v>
      </c>
      <c r="H87" s="1851" t="s">
        <v>28</v>
      </c>
      <c r="I87" s="1851" t="s">
        <v>826</v>
      </c>
    </row>
    <row customHeight="1" ht="11.25">
      <c r="A88" s="1851" t="s">
        <v>2263</v>
      </c>
      <c r="B88" s="1851" t="s">
        <v>16</v>
      </c>
      <c r="C88" s="1851" t="s">
        <v>2614</v>
      </c>
      <c r="D88" s="1851" t="s">
        <v>2615</v>
      </c>
      <c r="E88" s="1851" t="s">
        <v>2616</v>
      </c>
      <c r="F88" s="1851" t="s">
        <v>2389</v>
      </c>
      <c r="G88" s="1851" t="s">
        <v>2617</v>
      </c>
      <c r="H88" s="1851" t="s">
        <v>28</v>
      </c>
      <c r="I88" s="1851" t="s">
        <v>826</v>
      </c>
    </row>
    <row customHeight="1" ht="11.25">
      <c r="A89" s="1851" t="s">
        <v>2263</v>
      </c>
      <c r="B89" s="1851" t="s">
        <v>16</v>
      </c>
      <c r="C89" s="1851" t="s">
        <v>2618</v>
      </c>
      <c r="D89" s="1851" t="s">
        <v>2619</v>
      </c>
      <c r="E89" s="1851" t="s">
        <v>2620</v>
      </c>
      <c r="F89" s="1851" t="s">
        <v>2621</v>
      </c>
      <c r="G89" s="1851" t="s">
        <v>28</v>
      </c>
      <c r="H89" s="1851" t="s">
        <v>2622</v>
      </c>
      <c r="I89" s="1851" t="s">
        <v>826</v>
      </c>
    </row>
    <row customHeight="1" ht="11.25">
      <c r="A90" s="1851" t="s">
        <v>2263</v>
      </c>
      <c r="B90" s="1851" t="s">
        <v>16</v>
      </c>
      <c r="C90" s="1851" t="s">
        <v>2623</v>
      </c>
      <c r="D90" s="1851" t="s">
        <v>2624</v>
      </c>
      <c r="E90" s="1851" t="s">
        <v>2625</v>
      </c>
      <c r="F90" s="1851" t="s">
        <v>2389</v>
      </c>
      <c r="G90" s="1851" t="s">
        <v>2626</v>
      </c>
      <c r="H90" s="1851" t="s">
        <v>28</v>
      </c>
      <c r="I90" s="1851" t="s">
        <v>826</v>
      </c>
    </row>
    <row customHeight="1" ht="11.25">
      <c r="A91" s="1851" t="s">
        <v>2263</v>
      </c>
      <c r="B91" s="1851" t="s">
        <v>16</v>
      </c>
      <c r="C91" s="1851" t="s">
        <v>2627</v>
      </c>
      <c r="D91" s="1851" t="s">
        <v>2628</v>
      </c>
      <c r="E91" s="1851" t="s">
        <v>2629</v>
      </c>
      <c r="F91" s="1851" t="s">
        <v>2588</v>
      </c>
      <c r="G91" s="1851" t="s">
        <v>2630</v>
      </c>
      <c r="H91" s="1851" t="s">
        <v>28</v>
      </c>
      <c r="I91" s="1851" t="s">
        <v>826</v>
      </c>
    </row>
    <row customHeight="1" ht="11.25">
      <c r="A92" s="1851" t="s">
        <v>2263</v>
      </c>
      <c r="B92" s="1851" t="s">
        <v>16</v>
      </c>
      <c r="C92" s="1851" t="s">
        <v>2631</v>
      </c>
      <c r="D92" s="1851" t="s">
        <v>2632</v>
      </c>
      <c r="E92" s="1851" t="s">
        <v>2633</v>
      </c>
      <c r="F92" s="1851" t="s">
        <v>2634</v>
      </c>
      <c r="G92" s="1851" t="s">
        <v>28</v>
      </c>
      <c r="H92" s="1851" t="s">
        <v>28</v>
      </c>
      <c r="I92" s="1851" t="s">
        <v>826</v>
      </c>
    </row>
    <row customHeight="1" ht="11.25">
      <c r="A93" s="1851" t="s">
        <v>2263</v>
      </c>
      <c r="B93" s="1851" t="s">
        <v>16</v>
      </c>
      <c r="C93" s="1851" t="s">
        <v>2635</v>
      </c>
      <c r="D93" s="1851" t="s">
        <v>2636</v>
      </c>
      <c r="E93" s="1851" t="s">
        <v>2637</v>
      </c>
      <c r="F93" s="1851" t="s">
        <v>52</v>
      </c>
      <c r="G93" s="1851" t="s">
        <v>2638</v>
      </c>
      <c r="H93" s="1851" t="s">
        <v>28</v>
      </c>
      <c r="I93" s="1851" t="s">
        <v>826</v>
      </c>
    </row>
    <row customHeight="1" ht="11.25">
      <c r="A94" s="1851" t="s">
        <v>2263</v>
      </c>
      <c r="B94" s="1851" t="s">
        <v>16</v>
      </c>
      <c r="C94" s="1851" t="s">
        <v>2639</v>
      </c>
      <c r="D94" s="1851" t="s">
        <v>2640</v>
      </c>
      <c r="E94" s="1851" t="s">
        <v>2641</v>
      </c>
      <c r="F94" s="1851" t="s">
        <v>2403</v>
      </c>
      <c r="G94" s="1851" t="s">
        <v>2642</v>
      </c>
      <c r="H94" s="1851" t="s">
        <v>2643</v>
      </c>
      <c r="I94" s="1851" t="s">
        <v>826</v>
      </c>
    </row>
    <row customHeight="1" ht="11.25">
      <c r="A95" s="1851" t="s">
        <v>2263</v>
      </c>
      <c r="B95" s="1851" t="s">
        <v>16</v>
      </c>
      <c r="C95" s="1851" t="s">
        <v>2644</v>
      </c>
      <c r="D95" s="1851" t="s">
        <v>2645</v>
      </c>
      <c r="E95" s="1851" t="s">
        <v>2646</v>
      </c>
      <c r="F95" s="1851" t="s">
        <v>2647</v>
      </c>
      <c r="G95" s="1851" t="s">
        <v>2648</v>
      </c>
      <c r="H95" s="1851" t="s">
        <v>2649</v>
      </c>
      <c r="I95" s="1851" t="s">
        <v>826</v>
      </c>
    </row>
    <row customHeight="1" ht="11.25">
      <c r="A96" s="1851" t="s">
        <v>2263</v>
      </c>
      <c r="B96" s="1851" t="s">
        <v>16</v>
      </c>
      <c r="C96" s="1851" t="s">
        <v>2650</v>
      </c>
      <c r="D96" s="1851" t="s">
        <v>2651</v>
      </c>
      <c r="E96" s="1851" t="s">
        <v>2652</v>
      </c>
      <c r="F96" s="1851" t="s">
        <v>2653</v>
      </c>
      <c r="G96" s="1851" t="s">
        <v>2654</v>
      </c>
      <c r="H96" s="1851" t="s">
        <v>28</v>
      </c>
      <c r="I96" s="1851" t="s">
        <v>826</v>
      </c>
    </row>
    <row customHeight="1" ht="11.25">
      <c r="A97" s="1851" t="s">
        <v>2263</v>
      </c>
      <c r="B97" s="1851" t="s">
        <v>16</v>
      </c>
      <c r="C97" s="1851" t="s">
        <v>2655</v>
      </c>
      <c r="D97" s="1851" t="s">
        <v>2656</v>
      </c>
      <c r="E97" s="1851" t="s">
        <v>2657</v>
      </c>
      <c r="F97" s="1851" t="s">
        <v>2309</v>
      </c>
      <c r="G97" s="1851" t="s">
        <v>28</v>
      </c>
      <c r="H97" s="1851" t="s">
        <v>28</v>
      </c>
      <c r="I97" s="1851" t="s">
        <v>826</v>
      </c>
    </row>
    <row customHeight="1" ht="11.25">
      <c r="A98" s="1851" t="s">
        <v>2263</v>
      </c>
      <c r="B98" s="1851" t="s">
        <v>16</v>
      </c>
      <c r="C98" s="1851" t="s">
        <v>2658</v>
      </c>
      <c r="D98" s="1851" t="s">
        <v>2659</v>
      </c>
      <c r="E98" s="1851" t="s">
        <v>2660</v>
      </c>
      <c r="F98" s="1851" t="s">
        <v>2466</v>
      </c>
      <c r="G98" s="1851" t="s">
        <v>2661</v>
      </c>
      <c r="H98" s="1851" t="s">
        <v>28</v>
      </c>
      <c r="I98" s="1851" t="s">
        <v>826</v>
      </c>
    </row>
    <row customHeight="1" ht="11.25">
      <c r="A99" s="1851" t="s">
        <v>2263</v>
      </c>
      <c r="B99" s="1851" t="s">
        <v>16</v>
      </c>
      <c r="C99" s="1851" t="s">
        <v>2662</v>
      </c>
      <c r="D99" s="1851" t="s">
        <v>2663</v>
      </c>
      <c r="E99" s="1851" t="s">
        <v>2664</v>
      </c>
      <c r="F99" s="1851" t="s">
        <v>2466</v>
      </c>
      <c r="G99" s="1851" t="s">
        <v>2665</v>
      </c>
      <c r="H99" s="1851" t="s">
        <v>28</v>
      </c>
      <c r="I99" s="1851" t="s">
        <v>826</v>
      </c>
    </row>
    <row customHeight="1" ht="11.25">
      <c r="A100" s="1851" t="s">
        <v>2263</v>
      </c>
      <c r="B100" s="1851" t="s">
        <v>16</v>
      </c>
      <c r="C100" s="1851" t="s">
        <v>2666</v>
      </c>
      <c r="D100" s="1851" t="s">
        <v>2667</v>
      </c>
      <c r="E100" s="1851" t="s">
        <v>2668</v>
      </c>
      <c r="F100" s="1851" t="s">
        <v>2621</v>
      </c>
      <c r="G100" s="1851" t="s">
        <v>2669</v>
      </c>
      <c r="H100" s="1851" t="s">
        <v>28</v>
      </c>
      <c r="I100" s="1851" t="s">
        <v>826</v>
      </c>
    </row>
    <row customHeight="1" ht="11.25">
      <c r="A101" s="1851" t="s">
        <v>2263</v>
      </c>
      <c r="B101" s="1851" t="s">
        <v>16</v>
      </c>
      <c r="C101" s="1851" t="s">
        <v>2670</v>
      </c>
      <c r="D101" s="1851" t="s">
        <v>2671</v>
      </c>
      <c r="E101" s="1851" t="s">
        <v>2672</v>
      </c>
      <c r="F101" s="1851" t="s">
        <v>2647</v>
      </c>
      <c r="G101" s="1851" t="s">
        <v>2673</v>
      </c>
      <c r="H101" s="1851" t="s">
        <v>28</v>
      </c>
      <c r="I101" s="1851" t="s">
        <v>826</v>
      </c>
    </row>
    <row customHeight="1" ht="11.25">
      <c r="A102" s="1851" t="s">
        <v>2263</v>
      </c>
      <c r="B102" s="1851" t="s">
        <v>16</v>
      </c>
      <c r="C102" s="1851" t="s">
        <v>2674</v>
      </c>
      <c r="D102" s="1851" t="s">
        <v>2675</v>
      </c>
      <c r="E102" s="1851" t="s">
        <v>2676</v>
      </c>
      <c r="F102" s="1851" t="s">
        <v>2466</v>
      </c>
      <c r="G102" s="1851" t="s">
        <v>2677</v>
      </c>
      <c r="H102" s="1851" t="s">
        <v>28</v>
      </c>
      <c r="I102" s="1851" t="s">
        <v>826</v>
      </c>
    </row>
    <row customHeight="1" ht="11.25">
      <c r="A103" s="1851" t="s">
        <v>2263</v>
      </c>
      <c r="B103" s="1851" t="s">
        <v>16</v>
      </c>
      <c r="C103" s="1851" t="s">
        <v>2678</v>
      </c>
      <c r="D103" s="1851" t="s">
        <v>2679</v>
      </c>
      <c r="E103" s="1851" t="s">
        <v>2680</v>
      </c>
      <c r="F103" s="1851" t="s">
        <v>2389</v>
      </c>
      <c r="G103" s="1851" t="s">
        <v>2681</v>
      </c>
      <c r="H103" s="1851" t="s">
        <v>28</v>
      </c>
      <c r="I103" s="1851" t="s">
        <v>826</v>
      </c>
    </row>
    <row customHeight="1" ht="11.25">
      <c r="A104" s="1851" t="s">
        <v>2263</v>
      </c>
      <c r="B104" s="1851" t="s">
        <v>16</v>
      </c>
      <c r="C104" s="1851" t="s">
        <v>2682</v>
      </c>
      <c r="D104" s="1851" t="s">
        <v>2683</v>
      </c>
      <c r="E104" s="1851" t="s">
        <v>2684</v>
      </c>
      <c r="F104" s="1851" t="s">
        <v>2685</v>
      </c>
      <c r="G104" s="1851" t="s">
        <v>28</v>
      </c>
      <c r="H104" s="1851" t="s">
        <v>2686</v>
      </c>
      <c r="I104" s="1851" t="s">
        <v>826</v>
      </c>
    </row>
    <row customHeight="1" ht="11.25">
      <c r="A105" s="1851" t="s">
        <v>2263</v>
      </c>
      <c r="B105" s="1851" t="s">
        <v>16</v>
      </c>
      <c r="C105" s="1851" t="s">
        <v>2687</v>
      </c>
      <c r="D105" s="1851" t="s">
        <v>2688</v>
      </c>
      <c r="E105" s="1851" t="s">
        <v>2689</v>
      </c>
      <c r="F105" s="1851" t="s">
        <v>2403</v>
      </c>
      <c r="G105" s="1851" t="s">
        <v>2690</v>
      </c>
      <c r="H105" s="1851" t="s">
        <v>28</v>
      </c>
      <c r="I105" s="1851" t="s">
        <v>826</v>
      </c>
    </row>
    <row customHeight="1" ht="11.25">
      <c r="A106" s="1851" t="s">
        <v>2263</v>
      </c>
      <c r="B106" s="1851" t="s">
        <v>16</v>
      </c>
      <c r="C106" s="1851" t="s">
        <v>2691</v>
      </c>
      <c r="D106" s="1851" t="s">
        <v>2692</v>
      </c>
      <c r="E106" s="1851" t="s">
        <v>2693</v>
      </c>
      <c r="F106" s="1851" t="s">
        <v>52</v>
      </c>
      <c r="G106" s="1851" t="s">
        <v>28</v>
      </c>
      <c r="H106" s="1851" t="s">
        <v>28</v>
      </c>
      <c r="I106" s="1851" t="s">
        <v>826</v>
      </c>
    </row>
    <row customHeight="1" ht="11.25">
      <c r="A107" s="1851" t="s">
        <v>2263</v>
      </c>
      <c r="B107" s="1851" t="s">
        <v>16</v>
      </c>
      <c r="C107" s="1851" t="s">
        <v>2694</v>
      </c>
      <c r="D107" s="1851" t="s">
        <v>2695</v>
      </c>
      <c r="E107" s="1851" t="s">
        <v>2696</v>
      </c>
      <c r="F107" s="1851" t="s">
        <v>2503</v>
      </c>
      <c r="G107" s="1851" t="s">
        <v>2697</v>
      </c>
      <c r="H107" s="1851" t="s">
        <v>2698</v>
      </c>
      <c r="I107" s="1851" t="s">
        <v>826</v>
      </c>
    </row>
    <row customHeight="1" ht="11.25">
      <c r="A108" s="1851" t="s">
        <v>2263</v>
      </c>
      <c r="B108" s="1851" t="s">
        <v>16</v>
      </c>
      <c r="C108" s="1851" t="s">
        <v>2699</v>
      </c>
      <c r="D108" s="1851" t="s">
        <v>2700</v>
      </c>
      <c r="E108" s="1851" t="s">
        <v>2701</v>
      </c>
      <c r="F108" s="1851" t="s">
        <v>2702</v>
      </c>
      <c r="G108" s="1851" t="s">
        <v>2703</v>
      </c>
      <c r="H108" s="1851" t="s">
        <v>2704</v>
      </c>
      <c r="I108" s="1851" t="s">
        <v>826</v>
      </c>
    </row>
    <row customHeight="1" ht="11.25">
      <c r="A109" s="1851" t="s">
        <v>2263</v>
      </c>
      <c r="B109" s="1851" t="s">
        <v>16</v>
      </c>
      <c r="C109" s="1851" t="s">
        <v>2705</v>
      </c>
      <c r="D109" s="1851" t="s">
        <v>2706</v>
      </c>
      <c r="E109" s="1851" t="s">
        <v>2707</v>
      </c>
      <c r="F109" s="1851" t="s">
        <v>2466</v>
      </c>
      <c r="G109" s="1851" t="s">
        <v>2661</v>
      </c>
      <c r="H109" s="1851" t="s">
        <v>28</v>
      </c>
      <c r="I109" s="1851" t="s">
        <v>826</v>
      </c>
    </row>
    <row customHeight="1" ht="11.25">
      <c r="A110" s="1851" t="s">
        <v>2263</v>
      </c>
      <c r="B110" s="1851" t="s">
        <v>16</v>
      </c>
      <c r="C110" s="1851" t="s">
        <v>2708</v>
      </c>
      <c r="D110" s="1851" t="s">
        <v>2709</v>
      </c>
      <c r="E110" s="1851" t="s">
        <v>2710</v>
      </c>
      <c r="F110" s="1851" t="s">
        <v>2634</v>
      </c>
      <c r="G110" s="1851" t="s">
        <v>28</v>
      </c>
      <c r="H110" s="1851" t="s">
        <v>28</v>
      </c>
      <c r="I110" s="1851" t="s">
        <v>826</v>
      </c>
    </row>
    <row customHeight="1" ht="11.25">
      <c r="A111" s="1851" t="s">
        <v>2263</v>
      </c>
      <c r="B111" s="1851" t="s">
        <v>16</v>
      </c>
      <c r="C111" s="1851" t="s">
        <v>2711</v>
      </c>
      <c r="D111" s="1851" t="s">
        <v>2712</v>
      </c>
      <c r="E111" s="1851" t="s">
        <v>2713</v>
      </c>
      <c r="F111" s="1851" t="s">
        <v>2291</v>
      </c>
      <c r="G111" s="1851" t="s">
        <v>2571</v>
      </c>
      <c r="H111" s="1851" t="s">
        <v>2572</v>
      </c>
      <c r="I111" s="1851" t="s">
        <v>826</v>
      </c>
    </row>
    <row customHeight="1" ht="11.25">
      <c r="A112" s="1851" t="s">
        <v>2263</v>
      </c>
      <c r="B112" s="1851" t="s">
        <v>16</v>
      </c>
      <c r="C112" s="1851" t="s">
        <v>2714</v>
      </c>
      <c r="D112" s="1851" t="s">
        <v>2715</v>
      </c>
      <c r="E112" s="1851" t="s">
        <v>2716</v>
      </c>
      <c r="F112" s="1851" t="s">
        <v>2717</v>
      </c>
      <c r="G112" s="1851" t="s">
        <v>28</v>
      </c>
      <c r="H112" s="1851" t="s">
        <v>28</v>
      </c>
      <c r="I112" s="1851" t="s">
        <v>826</v>
      </c>
    </row>
    <row customHeight="1" ht="11.25">
      <c r="A113" s="1851" t="s">
        <v>2263</v>
      </c>
      <c r="B113" s="1851" t="s">
        <v>16</v>
      </c>
      <c r="C113" s="1851" t="s">
        <v>2718</v>
      </c>
      <c r="D113" s="1851" t="s">
        <v>2719</v>
      </c>
      <c r="E113" s="1851" t="s">
        <v>2720</v>
      </c>
      <c r="F113" s="1851" t="s">
        <v>2314</v>
      </c>
      <c r="G113" s="1851" t="s">
        <v>2721</v>
      </c>
      <c r="H113" s="1851" t="s">
        <v>28</v>
      </c>
      <c r="I113" s="1851" t="s">
        <v>826</v>
      </c>
    </row>
    <row customHeight="1" ht="11.25">
      <c r="A114" s="1851" t="s">
        <v>2263</v>
      </c>
      <c r="B114" s="1851" t="s">
        <v>16</v>
      </c>
      <c r="C114" s="1851" t="s">
        <v>2722</v>
      </c>
      <c r="D114" s="1851" t="s">
        <v>2723</v>
      </c>
      <c r="E114" s="1851" t="s">
        <v>2724</v>
      </c>
      <c r="F114" s="1851" t="s">
        <v>2493</v>
      </c>
      <c r="G114" s="1851" t="s">
        <v>2725</v>
      </c>
      <c r="H114" s="1851" t="s">
        <v>28</v>
      </c>
      <c r="I114" s="1851" t="s">
        <v>826</v>
      </c>
    </row>
    <row customHeight="1" ht="11.25">
      <c r="A115" s="1851" t="s">
        <v>2263</v>
      </c>
      <c r="B115" s="1851" t="s">
        <v>16</v>
      </c>
      <c r="C115" s="1851" t="s">
        <v>2726</v>
      </c>
      <c r="D115" s="1851" t="s">
        <v>2727</v>
      </c>
      <c r="E115" s="1851" t="s">
        <v>2728</v>
      </c>
      <c r="F115" s="1851" t="s">
        <v>2493</v>
      </c>
      <c r="G115" s="1851" t="s">
        <v>28</v>
      </c>
      <c r="H115" s="1851" t="s">
        <v>28</v>
      </c>
      <c r="I115" s="1851" t="s">
        <v>826</v>
      </c>
    </row>
    <row customHeight="1" ht="11.25">
      <c r="A116" s="1851" t="s">
        <v>2263</v>
      </c>
      <c r="B116" s="1851" t="s">
        <v>16</v>
      </c>
      <c r="C116" s="1851" t="s">
        <v>2729</v>
      </c>
      <c r="D116" s="1851" t="s">
        <v>2730</v>
      </c>
      <c r="E116" s="1851" t="s">
        <v>2731</v>
      </c>
      <c r="F116" s="1851" t="s">
        <v>2732</v>
      </c>
      <c r="G116" s="1851" t="s">
        <v>2733</v>
      </c>
      <c r="H116" s="1851" t="s">
        <v>28</v>
      </c>
      <c r="I116" s="1851" t="s">
        <v>826</v>
      </c>
    </row>
    <row customHeight="1" ht="11.25">
      <c r="A117" s="1851" t="s">
        <v>2263</v>
      </c>
      <c r="B117" s="1851" t="s">
        <v>16</v>
      </c>
      <c r="C117" s="1851" t="s">
        <v>2734</v>
      </c>
      <c r="D117" s="1851" t="s">
        <v>2735</v>
      </c>
      <c r="E117" s="1851" t="s">
        <v>2736</v>
      </c>
      <c r="F117" s="1851" t="s">
        <v>2384</v>
      </c>
      <c r="G117" s="1851" t="s">
        <v>2737</v>
      </c>
      <c r="H117" s="1851" t="s">
        <v>28</v>
      </c>
      <c r="I117" s="1851" t="s">
        <v>826</v>
      </c>
    </row>
    <row customHeight="1" ht="11.25">
      <c r="A118" s="1851" t="s">
        <v>2263</v>
      </c>
      <c r="B118" s="1851" t="s">
        <v>16</v>
      </c>
      <c r="C118" s="1851" t="s">
        <v>2738</v>
      </c>
      <c r="D118" s="1851" t="s">
        <v>2739</v>
      </c>
      <c r="E118" s="1851" t="s">
        <v>2740</v>
      </c>
      <c r="F118" s="1851" t="s">
        <v>2314</v>
      </c>
      <c r="G118" s="1851" t="s">
        <v>28</v>
      </c>
      <c r="H118" s="1851" t="s">
        <v>28</v>
      </c>
      <c r="I118" s="1851" t="s">
        <v>826</v>
      </c>
    </row>
    <row customHeight="1" ht="11.25">
      <c r="A119" s="1851" t="s">
        <v>2263</v>
      </c>
      <c r="B119" s="1851" t="s">
        <v>16</v>
      </c>
      <c r="C119" s="1851" t="s">
        <v>2741</v>
      </c>
      <c r="D119" s="1851" t="s">
        <v>2742</v>
      </c>
      <c r="E119" s="1851" t="s">
        <v>2337</v>
      </c>
      <c r="F119" s="1851" t="s">
        <v>2743</v>
      </c>
      <c r="G119" s="1851" t="s">
        <v>28</v>
      </c>
      <c r="H119" s="1851" t="s">
        <v>28</v>
      </c>
      <c r="I119" s="1851" t="s">
        <v>826</v>
      </c>
    </row>
    <row customHeight="1" ht="11.25">
      <c r="A120" s="1851" t="s">
        <v>2263</v>
      </c>
      <c r="B120" s="1851" t="s">
        <v>16</v>
      </c>
      <c r="C120" s="1851" t="s">
        <v>2744</v>
      </c>
      <c r="D120" s="1851" t="s">
        <v>2745</v>
      </c>
      <c r="E120" s="1851" t="s">
        <v>2746</v>
      </c>
      <c r="F120" s="1851" t="s">
        <v>2653</v>
      </c>
      <c r="G120" s="1851" t="s">
        <v>2747</v>
      </c>
      <c r="H120" s="1851" t="s">
        <v>28</v>
      </c>
      <c r="I120" s="1851" t="s">
        <v>826</v>
      </c>
    </row>
    <row customHeight="1" ht="11.25">
      <c r="A121" s="1851" t="s">
        <v>2263</v>
      </c>
      <c r="B121" s="1851" t="s">
        <v>16</v>
      </c>
      <c r="C121" s="1851" t="s">
        <v>2748</v>
      </c>
      <c r="D121" s="1851" t="s">
        <v>2749</v>
      </c>
      <c r="E121" s="1851" t="s">
        <v>2750</v>
      </c>
      <c r="F121" s="1851" t="s">
        <v>2653</v>
      </c>
      <c r="G121" s="1851" t="s">
        <v>2751</v>
      </c>
      <c r="H121" s="1851" t="s">
        <v>28</v>
      </c>
      <c r="I121" s="1851" t="s">
        <v>826</v>
      </c>
    </row>
    <row customHeight="1" ht="11.25">
      <c r="A122" s="1851" t="s">
        <v>2263</v>
      </c>
      <c r="B122" s="1851" t="s">
        <v>16</v>
      </c>
      <c r="C122" s="1851" t="s">
        <v>2752</v>
      </c>
      <c r="D122" s="1851" t="s">
        <v>2753</v>
      </c>
      <c r="E122" s="1851" t="s">
        <v>2754</v>
      </c>
      <c r="F122" s="1851" t="s">
        <v>2314</v>
      </c>
      <c r="G122" s="1851" t="s">
        <v>2755</v>
      </c>
      <c r="H122" s="1851" t="s">
        <v>28</v>
      </c>
      <c r="I122" s="1851" t="s">
        <v>826</v>
      </c>
    </row>
    <row customHeight="1" ht="11.25">
      <c r="A123" s="1851" t="s">
        <v>2263</v>
      </c>
      <c r="B123" s="1851" t="s">
        <v>16</v>
      </c>
      <c r="C123" s="1851" t="s">
        <v>2756</v>
      </c>
      <c r="D123" s="1851" t="s">
        <v>2757</v>
      </c>
      <c r="E123" s="1851" t="s">
        <v>2758</v>
      </c>
      <c r="F123" s="1851" t="s">
        <v>52</v>
      </c>
      <c r="G123" s="1851" t="s">
        <v>2759</v>
      </c>
      <c r="H123" s="1851" t="s">
        <v>28</v>
      </c>
      <c r="I123" s="1851" t="s">
        <v>826</v>
      </c>
    </row>
    <row customHeight="1" ht="11.25">
      <c r="A124" s="1851" t="s">
        <v>2263</v>
      </c>
      <c r="B124" s="1851" t="s">
        <v>16</v>
      </c>
      <c r="C124" s="1851" t="s">
        <v>2760</v>
      </c>
      <c r="D124" s="1851" t="s">
        <v>2761</v>
      </c>
      <c r="E124" s="1851" t="s">
        <v>2762</v>
      </c>
      <c r="F124" s="1851" t="s">
        <v>2530</v>
      </c>
      <c r="G124" s="1851" t="s">
        <v>2763</v>
      </c>
      <c r="H124" s="1851" t="s">
        <v>28</v>
      </c>
      <c r="I124" s="1851" t="s">
        <v>826</v>
      </c>
    </row>
    <row customHeight="1" ht="11.25">
      <c r="A125" s="1851" t="s">
        <v>2263</v>
      </c>
      <c r="B125" s="1851" t="s">
        <v>16</v>
      </c>
      <c r="C125" s="1851" t="s">
        <v>2764</v>
      </c>
      <c r="D125" s="1851" t="s">
        <v>2765</v>
      </c>
      <c r="E125" s="1851" t="s">
        <v>2766</v>
      </c>
      <c r="F125" s="1851" t="s">
        <v>2647</v>
      </c>
      <c r="G125" s="1851" t="s">
        <v>28</v>
      </c>
      <c r="H125" s="1851" t="s">
        <v>28</v>
      </c>
      <c r="I125" s="1851" t="s">
        <v>826</v>
      </c>
    </row>
    <row customHeight="1" ht="11.25">
      <c r="A126" s="1851" t="s">
        <v>2263</v>
      </c>
      <c r="B126" s="1851" t="s">
        <v>16</v>
      </c>
      <c r="C126" s="1851" t="s">
        <v>2767</v>
      </c>
      <c r="D126" s="1851" t="s">
        <v>2768</v>
      </c>
      <c r="E126" s="1851" t="s">
        <v>2769</v>
      </c>
      <c r="F126" s="1851" t="s">
        <v>2271</v>
      </c>
      <c r="G126" s="1851" t="s">
        <v>2770</v>
      </c>
      <c r="H126" s="1851" t="s">
        <v>28</v>
      </c>
      <c r="I126" s="1851" t="s">
        <v>826</v>
      </c>
    </row>
    <row customHeight="1" ht="11.25">
      <c r="A127" s="1851" t="s">
        <v>2263</v>
      </c>
      <c r="B127" s="1851" t="s">
        <v>16</v>
      </c>
      <c r="C127" s="1851" t="s">
        <v>2771</v>
      </c>
      <c r="D127" s="1851" t="s">
        <v>2772</v>
      </c>
      <c r="E127" s="1851" t="s">
        <v>2773</v>
      </c>
      <c r="F127" s="1851" t="s">
        <v>2271</v>
      </c>
      <c r="G127" s="1851" t="s">
        <v>2774</v>
      </c>
      <c r="H127" s="1851" t="s">
        <v>28</v>
      </c>
      <c r="I127" s="1851" t="s">
        <v>826</v>
      </c>
    </row>
    <row customHeight="1" ht="11.25">
      <c r="A128" s="1851" t="s">
        <v>2263</v>
      </c>
      <c r="B128" s="1851" t="s">
        <v>16</v>
      </c>
      <c r="C128" s="1851" t="s">
        <v>2775</v>
      </c>
      <c r="D128" s="1851" t="s">
        <v>2776</v>
      </c>
      <c r="E128" s="1851" t="s">
        <v>2777</v>
      </c>
      <c r="F128" s="1851" t="s">
        <v>2466</v>
      </c>
      <c r="G128" s="1851" t="s">
        <v>2778</v>
      </c>
      <c r="H128" s="1851" t="s">
        <v>28</v>
      </c>
      <c r="I128" s="1851" t="s">
        <v>826</v>
      </c>
    </row>
    <row customHeight="1" ht="11.25">
      <c r="A129" s="1851" t="s">
        <v>2263</v>
      </c>
      <c r="B129" s="1851" t="s">
        <v>16</v>
      </c>
      <c r="C129" s="1851" t="s">
        <v>2779</v>
      </c>
      <c r="D129" s="1851" t="s">
        <v>2780</v>
      </c>
      <c r="E129" s="1851" t="s">
        <v>2781</v>
      </c>
      <c r="F129" s="1851" t="s">
        <v>2647</v>
      </c>
      <c r="G129" s="1851" t="s">
        <v>2782</v>
      </c>
      <c r="H129" s="1851" t="s">
        <v>2783</v>
      </c>
      <c r="I129" s="1851" t="s">
        <v>826</v>
      </c>
    </row>
    <row customHeight="1" ht="11.25">
      <c r="A130" s="1851" t="s">
        <v>2263</v>
      </c>
      <c r="B130" s="1851" t="s">
        <v>16</v>
      </c>
      <c r="C130" s="1851" t="s">
        <v>2784</v>
      </c>
      <c r="D130" s="1851" t="s">
        <v>2785</v>
      </c>
      <c r="E130" s="1851" t="s">
        <v>2716</v>
      </c>
      <c r="F130" s="1851" t="s">
        <v>2786</v>
      </c>
      <c r="G130" s="1851" t="s">
        <v>2787</v>
      </c>
      <c r="H130" s="1851" t="s">
        <v>28</v>
      </c>
      <c r="I130" s="1851" t="s">
        <v>826</v>
      </c>
    </row>
    <row customHeight="1" ht="11.25">
      <c r="A131" s="1851" t="s">
        <v>2263</v>
      </c>
      <c r="B131" s="1851" t="s">
        <v>16</v>
      </c>
      <c r="C131" s="1851" t="s">
        <v>2788</v>
      </c>
      <c r="D131" s="1851" t="s">
        <v>2789</v>
      </c>
      <c r="E131" s="1851" t="s">
        <v>2790</v>
      </c>
      <c r="F131" s="1851" t="s">
        <v>2421</v>
      </c>
      <c r="G131" s="1851" t="s">
        <v>2791</v>
      </c>
      <c r="H131" s="1851" t="s">
        <v>28</v>
      </c>
      <c r="I131" s="1851" t="s">
        <v>826</v>
      </c>
    </row>
    <row customHeight="1" ht="11.25">
      <c r="A132" s="1851" t="s">
        <v>2263</v>
      </c>
      <c r="B132" s="1851" t="s">
        <v>16</v>
      </c>
      <c r="C132" s="1851" t="s">
        <v>2792</v>
      </c>
      <c r="D132" s="1851" t="s">
        <v>2793</v>
      </c>
      <c r="E132" s="1851" t="s">
        <v>2794</v>
      </c>
      <c r="F132" s="1851" t="s">
        <v>52</v>
      </c>
      <c r="G132" s="1851" t="s">
        <v>28</v>
      </c>
      <c r="H132" s="1851" t="s">
        <v>28</v>
      </c>
      <c r="I132" s="1851" t="s">
        <v>826</v>
      </c>
    </row>
    <row customHeight="1" ht="11.25">
      <c r="A133" s="1851" t="s">
        <v>2263</v>
      </c>
      <c r="B133" s="1851" t="s">
        <v>16</v>
      </c>
      <c r="C133" s="1851" t="s">
        <v>2795</v>
      </c>
      <c r="D133" s="1851" t="s">
        <v>2796</v>
      </c>
      <c r="E133" s="1851" t="s">
        <v>2797</v>
      </c>
      <c r="F133" s="1851" t="s">
        <v>2314</v>
      </c>
      <c r="G133" s="1851" t="s">
        <v>2798</v>
      </c>
      <c r="H133" s="1851" t="s">
        <v>28</v>
      </c>
      <c r="I133" s="1851" t="s">
        <v>826</v>
      </c>
    </row>
    <row customHeight="1" ht="11.25">
      <c r="A134" s="1851" t="s">
        <v>2263</v>
      </c>
      <c r="B134" s="1851" t="s">
        <v>16</v>
      </c>
      <c r="C134" s="1851" t="s">
        <v>2799</v>
      </c>
      <c r="D134" s="1851" t="s">
        <v>2800</v>
      </c>
      <c r="E134" s="1851" t="s">
        <v>2801</v>
      </c>
      <c r="F134" s="1851" t="s">
        <v>2470</v>
      </c>
      <c r="G134" s="1851" t="s">
        <v>2802</v>
      </c>
      <c r="H134" s="1851" t="s">
        <v>28</v>
      </c>
      <c r="I134" s="1851" t="s">
        <v>826</v>
      </c>
    </row>
    <row customHeight="1" ht="11.25">
      <c r="A135" s="1851" t="s">
        <v>2263</v>
      </c>
      <c r="B135" s="1851" t="s">
        <v>16</v>
      </c>
      <c r="C135" s="1851" t="s">
        <v>2803</v>
      </c>
      <c r="D135" s="1851" t="s">
        <v>2804</v>
      </c>
      <c r="E135" s="1851" t="s">
        <v>2805</v>
      </c>
      <c r="F135" s="1851" t="s">
        <v>2384</v>
      </c>
      <c r="G135" s="1851" t="s">
        <v>2642</v>
      </c>
      <c r="H135" s="1851" t="s">
        <v>28</v>
      </c>
      <c r="I135" s="1851" t="s">
        <v>826</v>
      </c>
    </row>
    <row customHeight="1" ht="11.25">
      <c r="A136" s="1851" t="s">
        <v>2263</v>
      </c>
      <c r="B136" s="1851" t="s">
        <v>16</v>
      </c>
      <c r="C136" s="1851" t="s">
        <v>2806</v>
      </c>
      <c r="D136" s="1851" t="s">
        <v>2807</v>
      </c>
      <c r="E136" s="1851" t="s">
        <v>2808</v>
      </c>
      <c r="F136" s="1851" t="s">
        <v>2503</v>
      </c>
      <c r="G136" s="1851" t="s">
        <v>28</v>
      </c>
      <c r="H136" s="1851" t="s">
        <v>28</v>
      </c>
      <c r="I136" s="1851" t="s">
        <v>826</v>
      </c>
    </row>
    <row customHeight="1" ht="11.25">
      <c r="A137" s="1851" t="s">
        <v>2263</v>
      </c>
      <c r="B137" s="1851" t="s">
        <v>16</v>
      </c>
      <c r="C137" s="1851" t="s">
        <v>2809</v>
      </c>
      <c r="D137" s="1851" t="s">
        <v>2810</v>
      </c>
      <c r="E137" s="1851" t="s">
        <v>2811</v>
      </c>
      <c r="F137" s="1851" t="s">
        <v>2271</v>
      </c>
      <c r="G137" s="1851" t="s">
        <v>28</v>
      </c>
      <c r="H137" s="1851" t="s">
        <v>28</v>
      </c>
      <c r="I137" s="1851" t="s">
        <v>826</v>
      </c>
    </row>
    <row customHeight="1" ht="11.25">
      <c r="A138" s="1851" t="s">
        <v>2263</v>
      </c>
      <c r="B138" s="1851" t="s">
        <v>16</v>
      </c>
      <c r="C138" s="1851" t="s">
        <v>2812</v>
      </c>
      <c r="D138" s="1851" t="s">
        <v>2813</v>
      </c>
      <c r="E138" s="1851" t="s">
        <v>2814</v>
      </c>
      <c r="F138" s="1851" t="s">
        <v>52</v>
      </c>
      <c r="G138" s="1851" t="s">
        <v>2815</v>
      </c>
      <c r="H138" s="1851" t="s">
        <v>28</v>
      </c>
      <c r="I138" s="1851" t="s">
        <v>826</v>
      </c>
    </row>
    <row customHeight="1" ht="11.25">
      <c r="A139" s="1851" t="s">
        <v>2263</v>
      </c>
      <c r="B139" s="1851" t="s">
        <v>16</v>
      </c>
      <c r="C139" s="1851" t="s">
        <v>13</v>
      </c>
      <c r="D139" s="1851" t="s">
        <v>47</v>
      </c>
      <c r="E139" s="1851" t="s">
        <v>50</v>
      </c>
      <c r="F139" s="1851" t="s">
        <v>52</v>
      </c>
      <c r="G139" s="1851" t="s">
        <v>2816</v>
      </c>
      <c r="H139" s="1851" t="s">
        <v>28</v>
      </c>
      <c r="I139" s="1851" t="s">
        <v>826</v>
      </c>
    </row>
    <row customHeight="1" ht="11.25">
      <c r="A140" s="1851" t="s">
        <v>2263</v>
      </c>
      <c r="B140" s="1851" t="s">
        <v>16</v>
      </c>
      <c r="C140" s="1851" t="s">
        <v>2817</v>
      </c>
      <c r="D140" s="1851" t="s">
        <v>2818</v>
      </c>
      <c r="E140" s="1851" t="s">
        <v>2819</v>
      </c>
      <c r="F140" s="1851" t="s">
        <v>52</v>
      </c>
      <c r="G140" s="1851" t="s">
        <v>2820</v>
      </c>
      <c r="H140" s="1851" t="s">
        <v>28</v>
      </c>
      <c r="I140" s="1851" t="s">
        <v>826</v>
      </c>
    </row>
    <row customHeight="1" ht="11.25">
      <c r="A141" s="1851" t="s">
        <v>2263</v>
      </c>
      <c r="B141" s="1851" t="s">
        <v>16</v>
      </c>
      <c r="C141" s="1851" t="s">
        <v>2821</v>
      </c>
      <c r="D141" s="1851" t="s">
        <v>2822</v>
      </c>
      <c r="E141" s="1851" t="s">
        <v>2364</v>
      </c>
      <c r="F141" s="1851" t="s">
        <v>2823</v>
      </c>
      <c r="G141" s="1851" t="s">
        <v>2369</v>
      </c>
      <c r="H141" s="1851" t="s">
        <v>28</v>
      </c>
      <c r="I141" s="1851" t="s">
        <v>826</v>
      </c>
    </row>
    <row customHeight="1" ht="11.25">
      <c r="A142" s="1851" t="s">
        <v>2263</v>
      </c>
      <c r="B142" s="1851" t="s">
        <v>16</v>
      </c>
      <c r="C142" s="1851" t="s">
        <v>2824</v>
      </c>
      <c r="D142" s="1851" t="s">
        <v>2825</v>
      </c>
      <c r="E142" s="1851" t="s">
        <v>2826</v>
      </c>
      <c r="F142" s="1851" t="s">
        <v>2827</v>
      </c>
      <c r="G142" s="1851" t="s">
        <v>2828</v>
      </c>
      <c r="H142" s="1851" t="s">
        <v>28</v>
      </c>
      <c r="I142" s="1851" t="s">
        <v>826</v>
      </c>
    </row>
    <row customHeight="1" ht="11.25">
      <c r="A143" s="1851" t="s">
        <v>2263</v>
      </c>
      <c r="B143" s="1851" t="s">
        <v>16</v>
      </c>
      <c r="C143" s="1851" t="s">
        <v>2829</v>
      </c>
      <c r="D143" s="1851" t="s">
        <v>2830</v>
      </c>
      <c r="E143" s="1851" t="s">
        <v>2831</v>
      </c>
      <c r="F143" s="1851" t="s">
        <v>2832</v>
      </c>
      <c r="G143" s="1851" t="s">
        <v>28</v>
      </c>
      <c r="H143" s="1851" t="s">
        <v>28</v>
      </c>
      <c r="I143" s="1851" t="s">
        <v>826</v>
      </c>
    </row>
    <row customHeight="1" ht="11.25">
      <c r="A144" s="1851" t="s">
        <v>2263</v>
      </c>
      <c r="B144" s="1851" t="s">
        <v>16</v>
      </c>
      <c r="C144" s="1851" t="s">
        <v>2833</v>
      </c>
      <c r="D144" s="1851" t="s">
        <v>2834</v>
      </c>
      <c r="E144" s="1851" t="s">
        <v>2835</v>
      </c>
      <c r="F144" s="1851" t="s">
        <v>2389</v>
      </c>
      <c r="G144" s="1851" t="s">
        <v>28</v>
      </c>
      <c r="H144" s="1851" t="s">
        <v>28</v>
      </c>
      <c r="I144" s="1851" t="s">
        <v>826</v>
      </c>
    </row>
    <row customHeight="1" ht="11.25">
      <c r="A145" s="1851" t="s">
        <v>2263</v>
      </c>
      <c r="B145" s="1851" t="s">
        <v>16</v>
      </c>
      <c r="C145" s="1851" t="s">
        <v>2836</v>
      </c>
      <c r="D145" s="1851" t="s">
        <v>2837</v>
      </c>
      <c r="E145" s="1851" t="s">
        <v>2838</v>
      </c>
      <c r="F145" s="1851" t="s">
        <v>2839</v>
      </c>
      <c r="G145" s="1851" t="s">
        <v>28</v>
      </c>
      <c r="H145" s="1851" t="s">
        <v>28</v>
      </c>
      <c r="I145" s="1851" t="s">
        <v>826</v>
      </c>
    </row>
    <row customHeight="1" ht="11.25">
      <c r="A146" s="1851" t="s">
        <v>2263</v>
      </c>
      <c r="B146" s="1851" t="s">
        <v>16</v>
      </c>
      <c r="C146" s="1851" t="s">
        <v>2840</v>
      </c>
      <c r="D146" s="1851" t="s">
        <v>2841</v>
      </c>
      <c r="E146" s="1851" t="s">
        <v>2842</v>
      </c>
      <c r="F146" s="1851" t="s">
        <v>52</v>
      </c>
      <c r="G146" s="1851" t="s">
        <v>2843</v>
      </c>
      <c r="H146" s="1851" t="s">
        <v>28</v>
      </c>
      <c r="I146" s="1851" t="s">
        <v>826</v>
      </c>
    </row>
    <row customHeight="1" ht="11.25">
      <c r="A147" s="1851" t="s">
        <v>2263</v>
      </c>
      <c r="B147" s="1851" t="s">
        <v>16</v>
      </c>
      <c r="C147" s="1851" t="s">
        <v>2844</v>
      </c>
      <c r="D147" s="1851" t="s">
        <v>2845</v>
      </c>
      <c r="E147" s="1851" t="s">
        <v>2846</v>
      </c>
      <c r="F147" s="1851" t="s">
        <v>2493</v>
      </c>
      <c r="G147" s="1851" t="s">
        <v>2847</v>
      </c>
      <c r="H147" s="1851" t="s">
        <v>28</v>
      </c>
      <c r="I147" s="1851" t="s">
        <v>826</v>
      </c>
    </row>
    <row customHeight="1" ht="11.25">
      <c r="A148" s="1851" t="s">
        <v>2263</v>
      </c>
      <c r="B148" s="1851" t="s">
        <v>16</v>
      </c>
      <c r="C148" s="1851" t="s">
        <v>2848</v>
      </c>
      <c r="D148" s="1851" t="s">
        <v>2849</v>
      </c>
      <c r="E148" s="1851" t="s">
        <v>2850</v>
      </c>
      <c r="F148" s="1851" t="s">
        <v>2314</v>
      </c>
      <c r="G148" s="1851" t="s">
        <v>28</v>
      </c>
      <c r="H148" s="1851" t="s">
        <v>28</v>
      </c>
      <c r="I148" s="1851" t="s">
        <v>826</v>
      </c>
    </row>
    <row customHeight="1" ht="11.25">
      <c r="A149" s="1851" t="s">
        <v>2263</v>
      </c>
      <c r="B149" s="1851" t="s">
        <v>16</v>
      </c>
      <c r="C149" s="1851" t="s">
        <v>2851</v>
      </c>
      <c r="D149" s="1851" t="s">
        <v>2852</v>
      </c>
      <c r="E149" s="1851" t="s">
        <v>2853</v>
      </c>
      <c r="F149" s="1851" t="s">
        <v>2466</v>
      </c>
      <c r="G149" s="1851" t="s">
        <v>2854</v>
      </c>
      <c r="H149" s="1851" t="s">
        <v>28</v>
      </c>
      <c r="I149" s="1851" t="s">
        <v>826</v>
      </c>
    </row>
    <row customHeight="1" ht="11.25">
      <c r="A150" s="1851" t="s">
        <v>2263</v>
      </c>
      <c r="B150" s="1851" t="s">
        <v>16</v>
      </c>
      <c r="C150" s="1851" t="s">
        <v>2855</v>
      </c>
      <c r="D150" s="1851" t="s">
        <v>2856</v>
      </c>
      <c r="E150" s="1851" t="s">
        <v>2857</v>
      </c>
      <c r="F150" s="1851" t="s">
        <v>2466</v>
      </c>
      <c r="G150" s="1851" t="s">
        <v>2858</v>
      </c>
      <c r="H150" s="1851" t="s">
        <v>28</v>
      </c>
      <c r="I150" s="1851" t="s">
        <v>826</v>
      </c>
    </row>
    <row customHeight="1" ht="11.25">
      <c r="A151" s="1851" t="s">
        <v>2263</v>
      </c>
      <c r="B151" s="1851" t="s">
        <v>16</v>
      </c>
      <c r="C151" s="1851" t="s">
        <v>2859</v>
      </c>
      <c r="D151" s="1851" t="s">
        <v>2860</v>
      </c>
      <c r="E151" s="1851" t="s">
        <v>2861</v>
      </c>
      <c r="F151" s="1851" t="s">
        <v>2862</v>
      </c>
      <c r="G151" s="1851" t="s">
        <v>28</v>
      </c>
      <c r="H151" s="1851" t="s">
        <v>28</v>
      </c>
      <c r="I151" s="1851" t="s">
        <v>826</v>
      </c>
    </row>
    <row customHeight="1" ht="11.25">
      <c r="A152" s="1851" t="s">
        <v>2263</v>
      </c>
      <c r="B152" s="1851" t="s">
        <v>16</v>
      </c>
      <c r="C152" s="1851" t="s">
        <v>2863</v>
      </c>
      <c r="D152" s="1851" t="s">
        <v>2864</v>
      </c>
      <c r="E152" s="1851" t="s">
        <v>2865</v>
      </c>
      <c r="F152" s="1851" t="s">
        <v>2866</v>
      </c>
      <c r="G152" s="1851" t="s">
        <v>2867</v>
      </c>
      <c r="H152" s="1851" t="s">
        <v>28</v>
      </c>
      <c r="I152" s="1851" t="s">
        <v>826</v>
      </c>
    </row>
    <row customHeight="1" ht="11.25">
      <c r="A153" s="1851" t="s">
        <v>2263</v>
      </c>
      <c r="B153" s="1851" t="s">
        <v>16</v>
      </c>
      <c r="C153" s="1851" t="s">
        <v>2868</v>
      </c>
      <c r="D153" s="1851" t="s">
        <v>2869</v>
      </c>
      <c r="E153" s="1851" t="s">
        <v>2838</v>
      </c>
      <c r="F153" s="1851" t="s">
        <v>2870</v>
      </c>
      <c r="G153" s="1851" t="s">
        <v>28</v>
      </c>
      <c r="H153" s="1851" t="s">
        <v>28</v>
      </c>
      <c r="I153" s="1851" t="s">
        <v>826</v>
      </c>
    </row>
    <row customHeight="1" ht="11.25">
      <c r="A154" s="1851" t="s">
        <v>2263</v>
      </c>
      <c r="B154" s="1851" t="s">
        <v>16</v>
      </c>
      <c r="C154" s="1851" t="s">
        <v>2871</v>
      </c>
      <c r="D154" s="1851" t="s">
        <v>2872</v>
      </c>
      <c r="E154" s="1851" t="s">
        <v>2337</v>
      </c>
      <c r="F154" s="1851" t="s">
        <v>2862</v>
      </c>
      <c r="G154" s="1851" t="s">
        <v>28</v>
      </c>
      <c r="H154" s="1851" t="s">
        <v>28</v>
      </c>
      <c r="I154" s="1851" t="s">
        <v>826</v>
      </c>
    </row>
    <row customHeight="1" ht="11.25">
      <c r="A155" s="1851" t="s">
        <v>2263</v>
      </c>
      <c r="B155" s="1851" t="s">
        <v>16</v>
      </c>
      <c r="C155" s="1851" t="s">
        <v>2873</v>
      </c>
      <c r="D155" s="1851" t="s">
        <v>2872</v>
      </c>
      <c r="E155" s="1851" t="s">
        <v>2337</v>
      </c>
      <c r="F155" s="1851" t="s">
        <v>2874</v>
      </c>
      <c r="G155" s="1851" t="s">
        <v>2339</v>
      </c>
      <c r="H155" s="1851" t="s">
        <v>28</v>
      </c>
      <c r="I155" s="1851" t="s">
        <v>826</v>
      </c>
    </row>
    <row customHeight="1" ht="11.25">
      <c r="A156" s="1851" t="s">
        <v>2263</v>
      </c>
      <c r="B156" s="1851" t="s">
        <v>16</v>
      </c>
      <c r="C156" s="1851" t="s">
        <v>2875</v>
      </c>
      <c r="D156" s="1851" t="s">
        <v>2876</v>
      </c>
      <c r="E156" s="1851" t="s">
        <v>2877</v>
      </c>
      <c r="F156" s="1851" t="s">
        <v>2878</v>
      </c>
      <c r="G156" s="1851" t="s">
        <v>2879</v>
      </c>
      <c r="H156" s="1851" t="s">
        <v>28</v>
      </c>
      <c r="I156" s="1851" t="s">
        <v>826</v>
      </c>
    </row>
    <row customHeight="1" ht="11.25">
      <c r="A157" s="1851" t="s">
        <v>2263</v>
      </c>
      <c r="B157" s="1851" t="s">
        <v>16</v>
      </c>
      <c r="C157" s="1851" t="s">
        <v>2880</v>
      </c>
      <c r="D157" s="1851" t="s">
        <v>2881</v>
      </c>
      <c r="E157" s="1851" t="s">
        <v>2877</v>
      </c>
      <c r="F157" s="1851" t="s">
        <v>2882</v>
      </c>
      <c r="G157" s="1851" t="s">
        <v>28</v>
      </c>
      <c r="H157" s="1851" t="s">
        <v>28</v>
      </c>
      <c r="I157" s="1851" t="s">
        <v>826</v>
      </c>
    </row>
    <row customHeight="1" ht="11.25">
      <c r="A158" s="1851" t="s">
        <v>2263</v>
      </c>
      <c r="B158" s="1851" t="s">
        <v>16</v>
      </c>
      <c r="C158" s="1851" t="s">
        <v>2280</v>
      </c>
      <c r="D158" s="1851" t="s">
        <v>2281</v>
      </c>
      <c r="E158" s="1851" t="s">
        <v>2282</v>
      </c>
      <c r="F158" s="1851" t="s">
        <v>52</v>
      </c>
      <c r="G158" s="1851" t="s">
        <v>2283</v>
      </c>
      <c r="H158" s="1851" t="s">
        <v>28</v>
      </c>
      <c r="I158" s="1851" t="s">
        <v>912</v>
      </c>
    </row>
    <row customHeight="1" ht="11.25">
      <c r="A159" s="1851" t="s">
        <v>2263</v>
      </c>
      <c r="B159" s="1851" t="s">
        <v>16</v>
      </c>
      <c r="C159" s="1851" t="s">
        <v>2284</v>
      </c>
      <c r="D159" s="1851" t="s">
        <v>2285</v>
      </c>
      <c r="E159" s="1851" t="s">
        <v>2286</v>
      </c>
      <c r="F159" s="1851" t="s">
        <v>52</v>
      </c>
      <c r="G159" s="1851" t="s">
        <v>2287</v>
      </c>
      <c r="H159" s="1851" t="s">
        <v>28</v>
      </c>
      <c r="I159" s="1851" t="s">
        <v>912</v>
      </c>
    </row>
    <row customHeight="1" ht="11.25">
      <c r="A160" s="1851" t="s">
        <v>2263</v>
      </c>
      <c r="B160" s="1851" t="s">
        <v>16</v>
      </c>
      <c r="C160" s="1851" t="s">
        <v>2329</v>
      </c>
      <c r="D160" s="1851" t="s">
        <v>2330</v>
      </c>
      <c r="E160" s="1851" t="s">
        <v>2331</v>
      </c>
      <c r="F160" s="1851" t="s">
        <v>52</v>
      </c>
      <c r="G160" s="1851" t="s">
        <v>28</v>
      </c>
      <c r="H160" s="1851" t="s">
        <v>2332</v>
      </c>
      <c r="I160" s="1851" t="s">
        <v>912</v>
      </c>
    </row>
    <row customHeight="1" ht="11.25">
      <c r="A161" s="1851" t="s">
        <v>2263</v>
      </c>
      <c r="B161" s="1851" t="s">
        <v>16</v>
      </c>
      <c r="C161" s="1851" t="s">
        <v>28</v>
      </c>
      <c r="D161" s="1851" t="s">
        <v>2333</v>
      </c>
      <c r="E161" s="1851" t="s">
        <v>2334</v>
      </c>
      <c r="F161" s="1851" t="s">
        <v>52</v>
      </c>
      <c r="G161" s="1851" t="s">
        <v>28</v>
      </c>
      <c r="H161" s="1851" t="s">
        <v>28</v>
      </c>
      <c r="I161" s="1851" t="s">
        <v>912</v>
      </c>
    </row>
    <row customHeight="1" ht="11.25">
      <c r="A162" s="1851" t="s">
        <v>2263</v>
      </c>
      <c r="B162" s="1851" t="s">
        <v>16</v>
      </c>
      <c r="C162" s="1851" t="s">
        <v>2362</v>
      </c>
      <c r="D162" s="1851" t="s">
        <v>2363</v>
      </c>
      <c r="E162" s="1851" t="s">
        <v>2364</v>
      </c>
      <c r="F162" s="1851" t="s">
        <v>52</v>
      </c>
      <c r="G162" s="1851" t="s">
        <v>2365</v>
      </c>
      <c r="H162" s="1851" t="s">
        <v>28</v>
      </c>
      <c r="I162" s="1851" t="s">
        <v>912</v>
      </c>
    </row>
    <row customHeight="1" ht="11.25">
      <c r="A163" s="1851" t="s">
        <v>2263</v>
      </c>
      <c r="B163" s="1851" t="s">
        <v>16</v>
      </c>
      <c r="C163" s="1851" t="s">
        <v>2366</v>
      </c>
      <c r="D163" s="1851" t="s">
        <v>2367</v>
      </c>
      <c r="E163" s="1851" t="s">
        <v>2364</v>
      </c>
      <c r="F163" s="1851" t="s">
        <v>2368</v>
      </c>
      <c r="G163" s="1851" t="s">
        <v>2369</v>
      </c>
      <c r="H163" s="1851" t="s">
        <v>28</v>
      </c>
      <c r="I163" s="1851" t="s">
        <v>912</v>
      </c>
    </row>
    <row customHeight="1" ht="11.25">
      <c r="A164" s="1851" t="s">
        <v>2263</v>
      </c>
      <c r="B164" s="1851" t="s">
        <v>16</v>
      </c>
      <c r="C164" s="1851" t="s">
        <v>2391</v>
      </c>
      <c r="D164" s="1851" t="s">
        <v>2392</v>
      </c>
      <c r="E164" s="1851" t="s">
        <v>2393</v>
      </c>
      <c r="F164" s="1851" t="s">
        <v>2389</v>
      </c>
      <c r="G164" s="1851" t="s">
        <v>2394</v>
      </c>
      <c r="H164" s="1851" t="s">
        <v>28</v>
      </c>
      <c r="I164" s="1851" t="s">
        <v>912</v>
      </c>
    </row>
    <row customHeight="1" ht="11.25">
      <c r="A165" s="1851" t="s">
        <v>2263</v>
      </c>
      <c r="B165" s="1851" t="s">
        <v>16</v>
      </c>
      <c r="C165" s="1851" t="s">
        <v>2409</v>
      </c>
      <c r="D165" s="1851" t="s">
        <v>2410</v>
      </c>
      <c r="E165" s="1851" t="s">
        <v>2411</v>
      </c>
      <c r="F165" s="1851" t="s">
        <v>2412</v>
      </c>
      <c r="G165" s="1851" t="s">
        <v>2413</v>
      </c>
      <c r="H165" s="1851" t="s">
        <v>28</v>
      </c>
      <c r="I165" s="1851" t="s">
        <v>912</v>
      </c>
    </row>
    <row customHeight="1" ht="11.25">
      <c r="A166" s="1851" t="s">
        <v>2263</v>
      </c>
      <c r="B166" s="1851" t="s">
        <v>16</v>
      </c>
      <c r="C166" s="1851" t="s">
        <v>2432</v>
      </c>
      <c r="D166" s="1851" t="s">
        <v>2433</v>
      </c>
      <c r="E166" s="1851" t="s">
        <v>2434</v>
      </c>
      <c r="F166" s="1851" t="s">
        <v>2309</v>
      </c>
      <c r="G166" s="1851" t="s">
        <v>2435</v>
      </c>
      <c r="H166" s="1851" t="s">
        <v>28</v>
      </c>
      <c r="I166" s="1851" t="s">
        <v>912</v>
      </c>
    </row>
    <row customHeight="1" ht="11.25">
      <c r="A167" s="1851" t="s">
        <v>2263</v>
      </c>
      <c r="B167" s="1851" t="s">
        <v>16</v>
      </c>
      <c r="C167" s="1851" t="s">
        <v>2440</v>
      </c>
      <c r="D167" s="1851" t="s">
        <v>2441</v>
      </c>
      <c r="E167" s="1851" t="s">
        <v>2442</v>
      </c>
      <c r="F167" s="1851" t="s">
        <v>2309</v>
      </c>
      <c r="G167" s="1851" t="s">
        <v>2443</v>
      </c>
      <c r="H167" s="1851" t="s">
        <v>28</v>
      </c>
      <c r="I167" s="1851" t="s">
        <v>912</v>
      </c>
    </row>
    <row customHeight="1" ht="11.25">
      <c r="A168" s="1851" t="s">
        <v>2263</v>
      </c>
      <c r="B168" s="1851" t="s">
        <v>16</v>
      </c>
      <c r="C168" s="1851" t="s">
        <v>2527</v>
      </c>
      <c r="D168" s="1851" t="s">
        <v>2528</v>
      </c>
      <c r="E168" s="1851" t="s">
        <v>2529</v>
      </c>
      <c r="F168" s="1851" t="s">
        <v>2530</v>
      </c>
      <c r="G168" s="1851" t="s">
        <v>2531</v>
      </c>
      <c r="H168" s="1851" t="s">
        <v>28</v>
      </c>
      <c r="I168" s="1851" t="s">
        <v>912</v>
      </c>
    </row>
    <row customHeight="1" ht="11.25">
      <c r="A169" s="1851" t="s">
        <v>2263</v>
      </c>
      <c r="B169" s="1851" t="s">
        <v>16</v>
      </c>
      <c r="C169" s="1851" t="s">
        <v>2549</v>
      </c>
      <c r="D169" s="1851" t="s">
        <v>2550</v>
      </c>
      <c r="E169" s="1851" t="s">
        <v>2551</v>
      </c>
      <c r="F169" s="1851" t="s">
        <v>2466</v>
      </c>
      <c r="G169" s="1851" t="s">
        <v>2552</v>
      </c>
      <c r="H169" s="1851" t="s">
        <v>28</v>
      </c>
      <c r="I169" s="1851" t="s">
        <v>912</v>
      </c>
    </row>
    <row customHeight="1" ht="11.25">
      <c r="A170" s="1851" t="s">
        <v>2263</v>
      </c>
      <c r="B170" s="1851" t="s">
        <v>16</v>
      </c>
      <c r="C170" s="1851" t="s">
        <v>2564</v>
      </c>
      <c r="D170" s="1851" t="s">
        <v>2565</v>
      </c>
      <c r="E170" s="1851" t="s">
        <v>2566</v>
      </c>
      <c r="F170" s="1851" t="s">
        <v>2493</v>
      </c>
      <c r="G170" s="1851" t="s">
        <v>2567</v>
      </c>
      <c r="H170" s="1851" t="s">
        <v>28</v>
      </c>
      <c r="I170" s="1851" t="s">
        <v>912</v>
      </c>
    </row>
    <row customHeight="1" ht="11.25">
      <c r="A171" s="1851" t="s">
        <v>2263</v>
      </c>
      <c r="B171" s="1851" t="s">
        <v>16</v>
      </c>
      <c r="C171" s="1851" t="s">
        <v>2568</v>
      </c>
      <c r="D171" s="1851" t="s">
        <v>2569</v>
      </c>
      <c r="E171" s="1851" t="s">
        <v>2570</v>
      </c>
      <c r="F171" s="1851" t="s">
        <v>52</v>
      </c>
      <c r="G171" s="1851" t="s">
        <v>2571</v>
      </c>
      <c r="H171" s="1851" t="s">
        <v>2572</v>
      </c>
      <c r="I171" s="1851" t="s">
        <v>912</v>
      </c>
    </row>
    <row customHeight="1" ht="11.25">
      <c r="A172" s="1851" t="s">
        <v>2263</v>
      </c>
      <c r="B172" s="1851" t="s">
        <v>16</v>
      </c>
      <c r="C172" s="1851" t="s">
        <v>2573</v>
      </c>
      <c r="D172" s="1851" t="s">
        <v>2574</v>
      </c>
      <c r="E172" s="1851" t="s">
        <v>2575</v>
      </c>
      <c r="F172" s="1851" t="s">
        <v>2314</v>
      </c>
      <c r="G172" s="1851" t="s">
        <v>2576</v>
      </c>
      <c r="H172" s="1851" t="s">
        <v>28</v>
      </c>
      <c r="I172" s="1851" t="s">
        <v>912</v>
      </c>
    </row>
    <row customHeight="1" ht="11.25">
      <c r="A173" s="1851" t="s">
        <v>2263</v>
      </c>
      <c r="B173" s="1851" t="s">
        <v>16</v>
      </c>
      <c r="C173" s="1851" t="s">
        <v>2650</v>
      </c>
      <c r="D173" s="1851" t="s">
        <v>2651</v>
      </c>
      <c r="E173" s="1851" t="s">
        <v>2652</v>
      </c>
      <c r="F173" s="1851" t="s">
        <v>2653</v>
      </c>
      <c r="G173" s="1851" t="s">
        <v>2654</v>
      </c>
      <c r="H173" s="1851" t="s">
        <v>28</v>
      </c>
      <c r="I173" s="1851" t="s">
        <v>912</v>
      </c>
    </row>
    <row customHeight="1" ht="11.25">
      <c r="A174" s="1851" t="s">
        <v>2263</v>
      </c>
      <c r="B174" s="1851" t="s">
        <v>16</v>
      </c>
      <c r="C174" s="1851" t="s">
        <v>2655</v>
      </c>
      <c r="D174" s="1851" t="s">
        <v>2656</v>
      </c>
      <c r="E174" s="1851" t="s">
        <v>2657</v>
      </c>
      <c r="F174" s="1851" t="s">
        <v>2309</v>
      </c>
      <c r="G174" s="1851" t="s">
        <v>28</v>
      </c>
      <c r="H174" s="1851" t="s">
        <v>28</v>
      </c>
      <c r="I174" s="1851" t="s">
        <v>912</v>
      </c>
    </row>
    <row customHeight="1" ht="11.25">
      <c r="A175" s="1851" t="s">
        <v>2263</v>
      </c>
      <c r="B175" s="1851" t="s">
        <v>16</v>
      </c>
      <c r="C175" s="1851" t="s">
        <v>2711</v>
      </c>
      <c r="D175" s="1851" t="s">
        <v>2712</v>
      </c>
      <c r="E175" s="1851" t="s">
        <v>2713</v>
      </c>
      <c r="F175" s="1851" t="s">
        <v>2291</v>
      </c>
      <c r="G175" s="1851" t="s">
        <v>2571</v>
      </c>
      <c r="H175" s="1851" t="s">
        <v>2572</v>
      </c>
      <c r="I175" s="1851" t="s">
        <v>912</v>
      </c>
    </row>
    <row customHeight="1" ht="11.25">
      <c r="A176" s="1851" t="s">
        <v>2263</v>
      </c>
      <c r="B176" s="1851" t="s">
        <v>16</v>
      </c>
      <c r="C176" s="1851" t="s">
        <v>2729</v>
      </c>
      <c r="D176" s="1851" t="s">
        <v>2730</v>
      </c>
      <c r="E176" s="1851" t="s">
        <v>2731</v>
      </c>
      <c r="F176" s="1851" t="s">
        <v>2732</v>
      </c>
      <c r="G176" s="1851" t="s">
        <v>2733</v>
      </c>
      <c r="H176" s="1851" t="s">
        <v>28</v>
      </c>
      <c r="I176" s="1851" t="s">
        <v>912</v>
      </c>
    </row>
    <row customHeight="1" ht="11.25">
      <c r="A177" s="1851" t="s">
        <v>2263</v>
      </c>
      <c r="B177" s="1851" t="s">
        <v>16</v>
      </c>
      <c r="C177" s="1851" t="s">
        <v>2788</v>
      </c>
      <c r="D177" s="1851" t="s">
        <v>2789</v>
      </c>
      <c r="E177" s="1851" t="s">
        <v>2790</v>
      </c>
      <c r="F177" s="1851" t="s">
        <v>2421</v>
      </c>
      <c r="G177" s="1851" t="s">
        <v>2791</v>
      </c>
      <c r="H177" s="1851" t="s">
        <v>28</v>
      </c>
      <c r="I177" s="1851" t="s">
        <v>912</v>
      </c>
    </row>
    <row customHeight="1" ht="11.25">
      <c r="A178" s="1851" t="s">
        <v>2263</v>
      </c>
      <c r="B178" s="1851" t="s">
        <v>16</v>
      </c>
      <c r="C178" s="1851" t="s">
        <v>2803</v>
      </c>
      <c r="D178" s="1851" t="s">
        <v>2804</v>
      </c>
      <c r="E178" s="1851" t="s">
        <v>2805</v>
      </c>
      <c r="F178" s="1851" t="s">
        <v>2384</v>
      </c>
      <c r="G178" s="1851" t="s">
        <v>2642</v>
      </c>
      <c r="H178" s="1851" t="s">
        <v>28</v>
      </c>
      <c r="I178" s="1851" t="s">
        <v>912</v>
      </c>
    </row>
    <row customHeight="1" ht="11.25">
      <c r="A179" s="1851" t="s">
        <v>2263</v>
      </c>
      <c r="B179" s="1851" t="s">
        <v>16</v>
      </c>
      <c r="C179" s="1851" t="s">
        <v>13</v>
      </c>
      <c r="D179" s="1851" t="s">
        <v>47</v>
      </c>
      <c r="E179" s="1851" t="s">
        <v>50</v>
      </c>
      <c r="F179" s="1851" t="s">
        <v>52</v>
      </c>
      <c r="G179" s="1851" t="s">
        <v>2816</v>
      </c>
      <c r="H179" s="1851" t="s">
        <v>28</v>
      </c>
      <c r="I179" s="1851" t="s">
        <v>912</v>
      </c>
    </row>
    <row customHeight="1" ht="11.25">
      <c r="A180" s="1851" t="s">
        <v>2263</v>
      </c>
      <c r="B180" s="1851" t="s">
        <v>16</v>
      </c>
      <c r="C180" s="1851" t="s">
        <v>2829</v>
      </c>
      <c r="D180" s="1851" t="s">
        <v>2830</v>
      </c>
      <c r="E180" s="1851" t="s">
        <v>2831</v>
      </c>
      <c r="F180" s="1851" t="s">
        <v>2832</v>
      </c>
      <c r="G180" s="1851" t="s">
        <v>28</v>
      </c>
      <c r="H180" s="1851" t="s">
        <v>28</v>
      </c>
      <c r="I180" s="1851" t="s">
        <v>912</v>
      </c>
    </row>
    <row customHeight="1" ht="11.25">
      <c r="A181" s="1851" t="s">
        <v>2263</v>
      </c>
      <c r="B181" s="1851" t="s">
        <v>16</v>
      </c>
      <c r="C181" s="1851" t="s">
        <v>2840</v>
      </c>
      <c r="D181" s="1851" t="s">
        <v>2841</v>
      </c>
      <c r="E181" s="1851" t="s">
        <v>2842</v>
      </c>
      <c r="F181" s="1851" t="s">
        <v>52</v>
      </c>
      <c r="G181" s="1851" t="s">
        <v>2843</v>
      </c>
      <c r="H181" s="1851" t="s">
        <v>28</v>
      </c>
      <c r="I181" s="1851" t="s">
        <v>912</v>
      </c>
    </row>
    <row customHeight="1" ht="11.25">
      <c r="A182" s="1851" t="s">
        <v>2263</v>
      </c>
      <c r="B182" s="1851" t="s">
        <v>16</v>
      </c>
      <c r="C182" s="1851" t="s">
        <v>2859</v>
      </c>
      <c r="D182" s="1851" t="s">
        <v>2860</v>
      </c>
      <c r="E182" s="1851" t="s">
        <v>2861</v>
      </c>
      <c r="F182" s="1851" t="s">
        <v>2862</v>
      </c>
      <c r="G182" s="1851" t="s">
        <v>28</v>
      </c>
      <c r="H182" s="1851" t="s">
        <v>28</v>
      </c>
      <c r="I182" s="1851" t="s">
        <v>912</v>
      </c>
    </row>
    <row customHeight="1" ht="11.25">
      <c r="A183" s="1851" t="s">
        <v>2263</v>
      </c>
      <c r="B183" s="1851" t="s">
        <v>16</v>
      </c>
      <c r="C183" s="1851" t="s">
        <v>2875</v>
      </c>
      <c r="D183" s="1851" t="s">
        <v>2876</v>
      </c>
      <c r="E183" s="1851" t="s">
        <v>2877</v>
      </c>
      <c r="F183" s="1851" t="s">
        <v>2878</v>
      </c>
      <c r="G183" s="1851" t="s">
        <v>2879</v>
      </c>
      <c r="H183" s="1851" t="s">
        <v>28</v>
      </c>
      <c r="I183" s="1851" t="s">
        <v>912</v>
      </c>
    </row>
    <row customHeight="1" ht="11.25">
      <c r="A184" s="1851" t="s">
        <v>2263</v>
      </c>
      <c r="B184" s="1851" t="s">
        <v>16</v>
      </c>
      <c r="C184" s="1851" t="s">
        <v>2264</v>
      </c>
      <c r="D184" s="1851" t="s">
        <v>2265</v>
      </c>
      <c r="E184" s="1851" t="s">
        <v>2266</v>
      </c>
      <c r="F184" s="1851" t="s">
        <v>52</v>
      </c>
      <c r="G184" s="1851" t="s">
        <v>2267</v>
      </c>
      <c r="H184" s="1851" t="s">
        <v>28</v>
      </c>
      <c r="I184" s="1851" t="s">
        <v>872</v>
      </c>
    </row>
    <row customHeight="1" ht="11.25">
      <c r="A185" s="1851" t="s">
        <v>2263</v>
      </c>
      <c r="B185" s="1851" t="s">
        <v>16</v>
      </c>
      <c r="C185" s="1851" t="s">
        <v>2268</v>
      </c>
      <c r="D185" s="1851" t="s">
        <v>2269</v>
      </c>
      <c r="E185" s="1851" t="s">
        <v>2270</v>
      </c>
      <c r="F185" s="1851" t="s">
        <v>2271</v>
      </c>
      <c r="G185" s="1851" t="s">
        <v>2272</v>
      </c>
      <c r="H185" s="1851" t="s">
        <v>28</v>
      </c>
      <c r="I185" s="1851" t="s">
        <v>872</v>
      </c>
    </row>
    <row customHeight="1" ht="11.25">
      <c r="A186" s="1851" t="s">
        <v>2263</v>
      </c>
      <c r="B186" s="1851" t="s">
        <v>16</v>
      </c>
      <c r="C186" s="1851" t="s">
        <v>2273</v>
      </c>
      <c r="D186" s="1851" t="s">
        <v>2274</v>
      </c>
      <c r="E186" s="1851" t="s">
        <v>2275</v>
      </c>
      <c r="F186" s="1851" t="s">
        <v>2276</v>
      </c>
      <c r="G186" s="1851" t="s">
        <v>28</v>
      </c>
      <c r="H186" s="1851" t="s">
        <v>28</v>
      </c>
      <c r="I186" s="1851" t="s">
        <v>872</v>
      </c>
    </row>
    <row customHeight="1" ht="11.25">
      <c r="A187" s="1851" t="s">
        <v>2263</v>
      </c>
      <c r="B187" s="1851" t="s">
        <v>16</v>
      </c>
      <c r="C187" s="1851" t="s">
        <v>2883</v>
      </c>
      <c r="D187" s="1851" t="s">
        <v>2884</v>
      </c>
      <c r="E187" s="1851" t="s">
        <v>2885</v>
      </c>
      <c r="F187" s="1851" t="s">
        <v>52</v>
      </c>
      <c r="G187" s="1851" t="s">
        <v>2886</v>
      </c>
      <c r="H187" s="1851" t="s">
        <v>28</v>
      </c>
      <c r="I187" s="1851" t="s">
        <v>872</v>
      </c>
    </row>
    <row customHeight="1" ht="11.25">
      <c r="A188" s="1851" t="s">
        <v>2263</v>
      </c>
      <c r="B188" s="1851" t="s">
        <v>16</v>
      </c>
      <c r="C188" s="1851" t="s">
        <v>2887</v>
      </c>
      <c r="D188" s="1851" t="s">
        <v>2888</v>
      </c>
      <c r="E188" s="1851" t="s">
        <v>2889</v>
      </c>
      <c r="F188" s="1851" t="s">
        <v>2653</v>
      </c>
      <c r="G188" s="1851" t="s">
        <v>28</v>
      </c>
      <c r="H188" s="1851" t="s">
        <v>28</v>
      </c>
      <c r="I188" s="1851" t="s">
        <v>872</v>
      </c>
    </row>
    <row customHeight="1" ht="11.25">
      <c r="A189" s="1851" t="s">
        <v>2263</v>
      </c>
      <c r="B189" s="1851" t="s">
        <v>16</v>
      </c>
      <c r="C189" s="1851" t="s">
        <v>2280</v>
      </c>
      <c r="D189" s="1851" t="s">
        <v>2281</v>
      </c>
      <c r="E189" s="1851" t="s">
        <v>2282</v>
      </c>
      <c r="F189" s="1851" t="s">
        <v>52</v>
      </c>
      <c r="G189" s="1851" t="s">
        <v>2283</v>
      </c>
      <c r="H189" s="1851" t="s">
        <v>28</v>
      </c>
      <c r="I189" s="1851" t="s">
        <v>872</v>
      </c>
    </row>
    <row customHeight="1" ht="11.25">
      <c r="A190" s="1851" t="s">
        <v>2263</v>
      </c>
      <c r="B190" s="1851" t="s">
        <v>16</v>
      </c>
      <c r="C190" s="1851" t="s">
        <v>2284</v>
      </c>
      <c r="D190" s="1851" t="s">
        <v>2285</v>
      </c>
      <c r="E190" s="1851" t="s">
        <v>2286</v>
      </c>
      <c r="F190" s="1851" t="s">
        <v>52</v>
      </c>
      <c r="G190" s="1851" t="s">
        <v>2287</v>
      </c>
      <c r="H190" s="1851" t="s">
        <v>28</v>
      </c>
      <c r="I190" s="1851" t="s">
        <v>872</v>
      </c>
    </row>
    <row customHeight="1" ht="11.25">
      <c r="A191" s="1851" t="s">
        <v>2263</v>
      </c>
      <c r="B191" s="1851" t="s">
        <v>16</v>
      </c>
      <c r="C191" s="1851" t="s">
        <v>2890</v>
      </c>
      <c r="D191" s="1851" t="s">
        <v>2891</v>
      </c>
      <c r="E191" s="1851" t="s">
        <v>2892</v>
      </c>
      <c r="F191" s="1851" t="s">
        <v>52</v>
      </c>
      <c r="G191" s="1851" t="s">
        <v>2893</v>
      </c>
      <c r="H191" s="1851" t="s">
        <v>28</v>
      </c>
      <c r="I191" s="1851" t="s">
        <v>872</v>
      </c>
    </row>
    <row customHeight="1" ht="11.25">
      <c r="A192" s="1851" t="s">
        <v>2263</v>
      </c>
      <c r="B192" s="1851" t="s">
        <v>16</v>
      </c>
      <c r="C192" s="1851" t="s">
        <v>2894</v>
      </c>
      <c r="D192" s="1851" t="s">
        <v>2895</v>
      </c>
      <c r="E192" s="1851" t="s">
        <v>2896</v>
      </c>
      <c r="F192" s="1851" t="s">
        <v>52</v>
      </c>
      <c r="G192" s="1851" t="s">
        <v>2897</v>
      </c>
      <c r="H192" s="1851" t="s">
        <v>28</v>
      </c>
      <c r="I192" s="1851" t="s">
        <v>872</v>
      </c>
    </row>
    <row customHeight="1" ht="11.25">
      <c r="A193" s="1851" t="s">
        <v>2263</v>
      </c>
      <c r="B193" s="1851" t="s">
        <v>16</v>
      </c>
      <c r="C193" s="1851" t="s">
        <v>2311</v>
      </c>
      <c r="D193" s="1851" t="s">
        <v>2312</v>
      </c>
      <c r="E193" s="1851" t="s">
        <v>2313</v>
      </c>
      <c r="F193" s="1851" t="s">
        <v>2314</v>
      </c>
      <c r="G193" s="1851" t="s">
        <v>2315</v>
      </c>
      <c r="H193" s="1851" t="s">
        <v>28</v>
      </c>
      <c r="I193" s="1851" t="s">
        <v>872</v>
      </c>
    </row>
    <row customHeight="1" ht="11.25">
      <c r="A194" s="1851" t="s">
        <v>2263</v>
      </c>
      <c r="B194" s="1851" t="s">
        <v>16</v>
      </c>
      <c r="C194" s="1851" t="s">
        <v>2898</v>
      </c>
      <c r="D194" s="1851" t="s">
        <v>2899</v>
      </c>
      <c r="E194" s="1851" t="s">
        <v>2900</v>
      </c>
      <c r="F194" s="1851" t="s">
        <v>2827</v>
      </c>
      <c r="G194" s="1851" t="s">
        <v>28</v>
      </c>
      <c r="H194" s="1851" t="s">
        <v>28</v>
      </c>
      <c r="I194" s="1851" t="s">
        <v>872</v>
      </c>
    </row>
    <row customHeight="1" ht="11.25">
      <c r="A195" s="1851" t="s">
        <v>2263</v>
      </c>
      <c r="B195" s="1851" t="s">
        <v>16</v>
      </c>
      <c r="C195" s="1851" t="s">
        <v>2901</v>
      </c>
      <c r="D195" s="1851" t="s">
        <v>2902</v>
      </c>
      <c r="E195" s="1851" t="s">
        <v>2903</v>
      </c>
      <c r="F195" s="1851" t="s">
        <v>2488</v>
      </c>
      <c r="G195" s="1851" t="s">
        <v>28</v>
      </c>
      <c r="H195" s="1851" t="s">
        <v>28</v>
      </c>
      <c r="I195" s="1851" t="s">
        <v>872</v>
      </c>
    </row>
    <row customHeight="1" ht="11.25">
      <c r="A196" s="1851" t="s">
        <v>2263</v>
      </c>
      <c r="B196" s="1851" t="s">
        <v>16</v>
      </c>
      <c r="C196" s="1851" t="s">
        <v>28</v>
      </c>
      <c r="D196" s="1851" t="s">
        <v>2333</v>
      </c>
      <c r="E196" s="1851" t="s">
        <v>2334</v>
      </c>
      <c r="F196" s="1851" t="s">
        <v>52</v>
      </c>
      <c r="G196" s="1851" t="s">
        <v>28</v>
      </c>
      <c r="H196" s="1851" t="s">
        <v>28</v>
      </c>
      <c r="I196" s="1851" t="s">
        <v>872</v>
      </c>
    </row>
    <row customHeight="1" ht="11.25">
      <c r="A197" s="1851" t="s">
        <v>2263</v>
      </c>
      <c r="B197" s="1851" t="s">
        <v>16</v>
      </c>
      <c r="C197" s="1851" t="s">
        <v>2335</v>
      </c>
      <c r="D197" s="1851" t="s">
        <v>2336</v>
      </c>
      <c r="E197" s="1851" t="s">
        <v>2337</v>
      </c>
      <c r="F197" s="1851" t="s">
        <v>2338</v>
      </c>
      <c r="G197" s="1851" t="s">
        <v>2339</v>
      </c>
      <c r="H197" s="1851" t="s">
        <v>28</v>
      </c>
      <c r="I197" s="1851" t="s">
        <v>872</v>
      </c>
    </row>
    <row customHeight="1" ht="11.25">
      <c r="A198" s="1851" t="s">
        <v>2263</v>
      </c>
      <c r="B198" s="1851" t="s">
        <v>16</v>
      </c>
      <c r="C198" s="1851" t="s">
        <v>2349</v>
      </c>
      <c r="D198" s="1851" t="s">
        <v>2350</v>
      </c>
      <c r="E198" s="1851" t="s">
        <v>2351</v>
      </c>
      <c r="F198" s="1851" t="s">
        <v>594</v>
      </c>
      <c r="G198" s="1851" t="s">
        <v>28</v>
      </c>
      <c r="H198" s="1851" t="s">
        <v>28</v>
      </c>
      <c r="I198" s="1851" t="s">
        <v>872</v>
      </c>
    </row>
    <row customHeight="1" ht="11.25">
      <c r="A199" s="1851" t="s">
        <v>2263</v>
      </c>
      <c r="B199" s="1851" t="s">
        <v>16</v>
      </c>
      <c r="C199" s="1851" t="s">
        <v>2904</v>
      </c>
      <c r="D199" s="1851" t="s">
        <v>2905</v>
      </c>
      <c r="E199" s="1851" t="s">
        <v>2906</v>
      </c>
      <c r="F199" s="1851" t="s">
        <v>594</v>
      </c>
      <c r="G199" s="1851" t="s">
        <v>28</v>
      </c>
      <c r="H199" s="1851" t="s">
        <v>28</v>
      </c>
      <c r="I199" s="1851" t="s">
        <v>872</v>
      </c>
    </row>
    <row customHeight="1" ht="11.25">
      <c r="A200" s="1851" t="s">
        <v>2263</v>
      </c>
      <c r="B200" s="1851" t="s">
        <v>16</v>
      </c>
      <c r="C200" s="1851" t="s">
        <v>2907</v>
      </c>
      <c r="D200" s="1851" t="s">
        <v>2908</v>
      </c>
      <c r="E200" s="1851" t="s">
        <v>2909</v>
      </c>
      <c r="F200" s="1851" t="s">
        <v>594</v>
      </c>
      <c r="G200" s="1851" t="s">
        <v>28</v>
      </c>
      <c r="H200" s="1851" t="s">
        <v>28</v>
      </c>
      <c r="I200" s="1851" t="s">
        <v>872</v>
      </c>
    </row>
    <row customHeight="1" ht="11.25">
      <c r="A201" s="1851" t="s">
        <v>2263</v>
      </c>
      <c r="B201" s="1851" t="s">
        <v>16</v>
      </c>
      <c r="C201" s="1851" t="s">
        <v>2362</v>
      </c>
      <c r="D201" s="1851" t="s">
        <v>2363</v>
      </c>
      <c r="E201" s="1851" t="s">
        <v>2364</v>
      </c>
      <c r="F201" s="1851" t="s">
        <v>52</v>
      </c>
      <c r="G201" s="1851" t="s">
        <v>2365</v>
      </c>
      <c r="H201" s="1851" t="s">
        <v>28</v>
      </c>
      <c r="I201" s="1851" t="s">
        <v>872</v>
      </c>
    </row>
    <row customHeight="1" ht="11.25">
      <c r="A202" s="1851" t="s">
        <v>2263</v>
      </c>
      <c r="B202" s="1851" t="s">
        <v>16</v>
      </c>
      <c r="C202" s="1851" t="s">
        <v>2366</v>
      </c>
      <c r="D202" s="1851" t="s">
        <v>2367</v>
      </c>
      <c r="E202" s="1851" t="s">
        <v>2364</v>
      </c>
      <c r="F202" s="1851" t="s">
        <v>2368</v>
      </c>
      <c r="G202" s="1851" t="s">
        <v>2369</v>
      </c>
      <c r="H202" s="1851" t="s">
        <v>28</v>
      </c>
      <c r="I202" s="1851" t="s">
        <v>872</v>
      </c>
    </row>
    <row customHeight="1" ht="11.25">
      <c r="A203" s="1851" t="s">
        <v>2263</v>
      </c>
      <c r="B203" s="1851" t="s">
        <v>16</v>
      </c>
      <c r="C203" s="1851" t="s">
        <v>2910</v>
      </c>
      <c r="D203" s="1851" t="s">
        <v>2911</v>
      </c>
      <c r="E203" s="1851" t="s">
        <v>2912</v>
      </c>
      <c r="F203" s="1851" t="s">
        <v>2309</v>
      </c>
      <c r="G203" s="1851" t="s">
        <v>28</v>
      </c>
      <c r="H203" s="1851" t="s">
        <v>28</v>
      </c>
      <c r="I203" s="1851" t="s">
        <v>872</v>
      </c>
    </row>
    <row customHeight="1" ht="11.25">
      <c r="A204" s="1851" t="s">
        <v>2263</v>
      </c>
      <c r="B204" s="1851" t="s">
        <v>16</v>
      </c>
      <c r="C204" s="1851" t="s">
        <v>2370</v>
      </c>
      <c r="D204" s="1851" t="s">
        <v>2371</v>
      </c>
      <c r="E204" s="1851" t="s">
        <v>2372</v>
      </c>
      <c r="F204" s="1851" t="s">
        <v>2373</v>
      </c>
      <c r="G204" s="1851" t="s">
        <v>2374</v>
      </c>
      <c r="H204" s="1851" t="s">
        <v>28</v>
      </c>
      <c r="I204" s="1851" t="s">
        <v>872</v>
      </c>
    </row>
    <row customHeight="1" ht="11.25">
      <c r="A205" s="1851" t="s">
        <v>2263</v>
      </c>
      <c r="B205" s="1851" t="s">
        <v>16</v>
      </c>
      <c r="C205" s="1851" t="s">
        <v>2375</v>
      </c>
      <c r="D205" s="1851" t="s">
        <v>2376</v>
      </c>
      <c r="E205" s="1851" t="s">
        <v>2372</v>
      </c>
      <c r="F205" s="1851" t="s">
        <v>2377</v>
      </c>
      <c r="G205" s="1851" t="s">
        <v>2374</v>
      </c>
      <c r="H205" s="1851" t="s">
        <v>28</v>
      </c>
      <c r="I205" s="1851" t="s">
        <v>872</v>
      </c>
    </row>
    <row customHeight="1" ht="11.25">
      <c r="A206" s="1851" t="s">
        <v>2263</v>
      </c>
      <c r="B206" s="1851" t="s">
        <v>16</v>
      </c>
      <c r="C206" s="1851" t="s">
        <v>2378</v>
      </c>
      <c r="D206" s="1851" t="s">
        <v>2379</v>
      </c>
      <c r="E206" s="1851" t="s">
        <v>2372</v>
      </c>
      <c r="F206" s="1851" t="s">
        <v>2380</v>
      </c>
      <c r="G206" s="1851" t="s">
        <v>2374</v>
      </c>
      <c r="H206" s="1851" t="s">
        <v>28</v>
      </c>
      <c r="I206" s="1851" t="s">
        <v>872</v>
      </c>
    </row>
    <row customHeight="1" ht="11.25">
      <c r="A207" s="1851" t="s">
        <v>2263</v>
      </c>
      <c r="B207" s="1851" t="s">
        <v>16</v>
      </c>
      <c r="C207" s="1851" t="s">
        <v>2913</v>
      </c>
      <c r="D207" s="1851" t="s">
        <v>2914</v>
      </c>
      <c r="E207" s="1851" t="s">
        <v>2915</v>
      </c>
      <c r="F207" s="1851" t="s">
        <v>2916</v>
      </c>
      <c r="G207" s="1851" t="s">
        <v>2917</v>
      </c>
      <c r="H207" s="1851" t="s">
        <v>28</v>
      </c>
      <c r="I207" s="1851" t="s">
        <v>872</v>
      </c>
    </row>
    <row customHeight="1" ht="11.25">
      <c r="A208" s="1851" t="s">
        <v>2263</v>
      </c>
      <c r="B208" s="1851" t="s">
        <v>16</v>
      </c>
      <c r="C208" s="1851" t="s">
        <v>2918</v>
      </c>
      <c r="D208" s="1851" t="s">
        <v>2919</v>
      </c>
      <c r="E208" s="1851" t="s">
        <v>2920</v>
      </c>
      <c r="F208" s="1851" t="s">
        <v>2389</v>
      </c>
      <c r="G208" s="1851" t="s">
        <v>2921</v>
      </c>
      <c r="H208" s="1851" t="s">
        <v>28</v>
      </c>
      <c r="I208" s="1851" t="s">
        <v>872</v>
      </c>
    </row>
    <row customHeight="1" ht="11.25">
      <c r="A209" s="1851" t="s">
        <v>2263</v>
      </c>
      <c r="B209" s="1851" t="s">
        <v>16</v>
      </c>
      <c r="C209" s="1851" t="s">
        <v>2391</v>
      </c>
      <c r="D209" s="1851" t="s">
        <v>2392</v>
      </c>
      <c r="E209" s="1851" t="s">
        <v>2393</v>
      </c>
      <c r="F209" s="1851" t="s">
        <v>2389</v>
      </c>
      <c r="G209" s="1851" t="s">
        <v>2394</v>
      </c>
      <c r="H209" s="1851" t="s">
        <v>28</v>
      </c>
      <c r="I209" s="1851" t="s">
        <v>872</v>
      </c>
    </row>
    <row customHeight="1" ht="11.25">
      <c r="A210" s="1851" t="s">
        <v>2263</v>
      </c>
      <c r="B210" s="1851" t="s">
        <v>16</v>
      </c>
      <c r="C210" s="1851" t="s">
        <v>2395</v>
      </c>
      <c r="D210" s="1851" t="s">
        <v>2396</v>
      </c>
      <c r="E210" s="1851" t="s">
        <v>2397</v>
      </c>
      <c r="F210" s="1851" t="s">
        <v>2398</v>
      </c>
      <c r="G210" s="1851" t="s">
        <v>2399</v>
      </c>
      <c r="H210" s="1851" t="s">
        <v>28</v>
      </c>
      <c r="I210" s="1851" t="s">
        <v>872</v>
      </c>
    </row>
    <row customHeight="1" ht="11.25">
      <c r="A211" s="1851" t="s">
        <v>2263</v>
      </c>
      <c r="B211" s="1851" t="s">
        <v>16</v>
      </c>
      <c r="C211" s="1851" t="s">
        <v>2405</v>
      </c>
      <c r="D211" s="1851" t="s">
        <v>2406</v>
      </c>
      <c r="E211" s="1851" t="s">
        <v>2407</v>
      </c>
      <c r="F211" s="1851" t="s">
        <v>2389</v>
      </c>
      <c r="G211" s="1851" t="s">
        <v>2408</v>
      </c>
      <c r="H211" s="1851" t="s">
        <v>28</v>
      </c>
      <c r="I211" s="1851" t="s">
        <v>872</v>
      </c>
    </row>
    <row customHeight="1" ht="11.25">
      <c r="A212" s="1851" t="s">
        <v>2263</v>
      </c>
      <c r="B212" s="1851" t="s">
        <v>16</v>
      </c>
      <c r="C212" s="1851" t="s">
        <v>2409</v>
      </c>
      <c r="D212" s="1851" t="s">
        <v>2410</v>
      </c>
      <c r="E212" s="1851" t="s">
        <v>2411</v>
      </c>
      <c r="F212" s="1851" t="s">
        <v>2412</v>
      </c>
      <c r="G212" s="1851" t="s">
        <v>2413</v>
      </c>
      <c r="H212" s="1851" t="s">
        <v>28</v>
      </c>
      <c r="I212" s="1851" t="s">
        <v>872</v>
      </c>
    </row>
    <row customHeight="1" ht="11.25">
      <c r="A213" s="1851" t="s">
        <v>2263</v>
      </c>
      <c r="B213" s="1851" t="s">
        <v>16</v>
      </c>
      <c r="C213" s="1851" t="s">
        <v>2418</v>
      </c>
      <c r="D213" s="1851" t="s">
        <v>2419</v>
      </c>
      <c r="E213" s="1851" t="s">
        <v>2420</v>
      </c>
      <c r="F213" s="1851" t="s">
        <v>2421</v>
      </c>
      <c r="G213" s="1851" t="s">
        <v>2422</v>
      </c>
      <c r="H213" s="1851" t="s">
        <v>28</v>
      </c>
      <c r="I213" s="1851" t="s">
        <v>872</v>
      </c>
    </row>
    <row customHeight="1" ht="11.25">
      <c r="A214" s="1851" t="s">
        <v>2263</v>
      </c>
      <c r="B214" s="1851" t="s">
        <v>16</v>
      </c>
      <c r="C214" s="1851" t="s">
        <v>2922</v>
      </c>
      <c r="D214" s="1851" t="s">
        <v>2923</v>
      </c>
      <c r="E214" s="1851" t="s">
        <v>2924</v>
      </c>
      <c r="F214" s="1851" t="s">
        <v>2547</v>
      </c>
      <c r="G214" s="1851" t="s">
        <v>2925</v>
      </c>
      <c r="H214" s="1851" t="s">
        <v>28</v>
      </c>
      <c r="I214" s="1851" t="s">
        <v>872</v>
      </c>
    </row>
    <row customHeight="1" ht="11.25">
      <c r="A215" s="1851" t="s">
        <v>2263</v>
      </c>
      <c r="B215" s="1851" t="s">
        <v>16</v>
      </c>
      <c r="C215" s="1851" t="s">
        <v>2926</v>
      </c>
      <c r="D215" s="1851" t="s">
        <v>2927</v>
      </c>
      <c r="E215" s="1851" t="s">
        <v>2928</v>
      </c>
      <c r="F215" s="1851" t="s">
        <v>2291</v>
      </c>
      <c r="G215" s="1851" t="s">
        <v>2929</v>
      </c>
      <c r="H215" s="1851" t="s">
        <v>28</v>
      </c>
      <c r="I215" s="1851" t="s">
        <v>872</v>
      </c>
    </row>
    <row customHeight="1" ht="11.25">
      <c r="A216" s="1851" t="s">
        <v>2263</v>
      </c>
      <c r="B216" s="1851" t="s">
        <v>16</v>
      </c>
      <c r="C216" s="1851" t="s">
        <v>2930</v>
      </c>
      <c r="D216" s="1851" t="s">
        <v>2931</v>
      </c>
      <c r="E216" s="1851" t="s">
        <v>2932</v>
      </c>
      <c r="F216" s="1851" t="s">
        <v>2384</v>
      </c>
      <c r="G216" s="1851" t="s">
        <v>2933</v>
      </c>
      <c r="H216" s="1851" t="s">
        <v>28</v>
      </c>
      <c r="I216" s="1851" t="s">
        <v>872</v>
      </c>
    </row>
    <row customHeight="1" ht="11.25">
      <c r="A217" s="1851" t="s">
        <v>2263</v>
      </c>
      <c r="B217" s="1851" t="s">
        <v>16</v>
      </c>
      <c r="C217" s="1851" t="s">
        <v>2934</v>
      </c>
      <c r="D217" s="1851" t="s">
        <v>2935</v>
      </c>
      <c r="E217" s="1851" t="s">
        <v>2936</v>
      </c>
      <c r="F217" s="1851" t="s">
        <v>2309</v>
      </c>
      <c r="G217" s="1851" t="s">
        <v>2937</v>
      </c>
      <c r="H217" s="1851" t="s">
        <v>28</v>
      </c>
      <c r="I217" s="1851" t="s">
        <v>872</v>
      </c>
    </row>
    <row customHeight="1" ht="11.25">
      <c r="A218" s="1851" t="s">
        <v>2263</v>
      </c>
      <c r="B218" s="1851" t="s">
        <v>16</v>
      </c>
      <c r="C218" s="1851" t="s">
        <v>2432</v>
      </c>
      <c r="D218" s="1851" t="s">
        <v>2433</v>
      </c>
      <c r="E218" s="1851" t="s">
        <v>2434</v>
      </c>
      <c r="F218" s="1851" t="s">
        <v>2309</v>
      </c>
      <c r="G218" s="1851" t="s">
        <v>2435</v>
      </c>
      <c r="H218" s="1851" t="s">
        <v>28</v>
      </c>
      <c r="I218" s="1851" t="s">
        <v>872</v>
      </c>
    </row>
    <row customHeight="1" ht="11.25">
      <c r="A219" s="1851" t="s">
        <v>2263</v>
      </c>
      <c r="B219" s="1851" t="s">
        <v>16</v>
      </c>
      <c r="C219" s="1851" t="s">
        <v>2436</v>
      </c>
      <c r="D219" s="1851" t="s">
        <v>2437</v>
      </c>
      <c r="E219" s="1851" t="s">
        <v>2438</v>
      </c>
      <c r="F219" s="1851" t="s">
        <v>2309</v>
      </c>
      <c r="G219" s="1851" t="s">
        <v>2439</v>
      </c>
      <c r="H219" s="1851" t="s">
        <v>28</v>
      </c>
      <c r="I219" s="1851" t="s">
        <v>872</v>
      </c>
    </row>
    <row customHeight="1" ht="11.25">
      <c r="A220" s="1851" t="s">
        <v>2263</v>
      </c>
      <c r="B220" s="1851" t="s">
        <v>16</v>
      </c>
      <c r="C220" s="1851" t="s">
        <v>2440</v>
      </c>
      <c r="D220" s="1851" t="s">
        <v>2441</v>
      </c>
      <c r="E220" s="1851" t="s">
        <v>2442</v>
      </c>
      <c r="F220" s="1851" t="s">
        <v>2309</v>
      </c>
      <c r="G220" s="1851" t="s">
        <v>2443</v>
      </c>
      <c r="H220" s="1851" t="s">
        <v>28</v>
      </c>
      <c r="I220" s="1851" t="s">
        <v>872</v>
      </c>
    </row>
    <row customHeight="1" ht="11.25">
      <c r="A221" s="1851" t="s">
        <v>2263</v>
      </c>
      <c r="B221" s="1851" t="s">
        <v>16</v>
      </c>
      <c r="C221" s="1851" t="s">
        <v>2938</v>
      </c>
      <c r="D221" s="1851" t="s">
        <v>2449</v>
      </c>
      <c r="E221" s="1851" t="s">
        <v>2939</v>
      </c>
      <c r="F221" s="1851" t="s">
        <v>2940</v>
      </c>
      <c r="G221" s="1851" t="s">
        <v>28</v>
      </c>
      <c r="H221" s="1851" t="s">
        <v>28</v>
      </c>
      <c r="I221" s="1851" t="s">
        <v>872</v>
      </c>
    </row>
    <row customHeight="1" ht="11.25">
      <c r="A222" s="1851" t="s">
        <v>2263</v>
      </c>
      <c r="B222" s="1851" t="s">
        <v>16</v>
      </c>
      <c r="C222" s="1851" t="s">
        <v>2448</v>
      </c>
      <c r="D222" s="1851" t="s">
        <v>2449</v>
      </c>
      <c r="E222" s="1851" t="s">
        <v>2450</v>
      </c>
      <c r="F222" s="1851" t="s">
        <v>2451</v>
      </c>
      <c r="G222" s="1851" t="s">
        <v>2452</v>
      </c>
      <c r="H222" s="1851" t="s">
        <v>28</v>
      </c>
      <c r="I222" s="1851" t="s">
        <v>872</v>
      </c>
    </row>
    <row customHeight="1" ht="11.25">
      <c r="A223" s="1851" t="s">
        <v>2263</v>
      </c>
      <c r="B223" s="1851" t="s">
        <v>16</v>
      </c>
      <c r="C223" s="1851" t="s">
        <v>2941</v>
      </c>
      <c r="D223" s="1851" t="s">
        <v>2942</v>
      </c>
      <c r="E223" s="1851" t="s">
        <v>2943</v>
      </c>
      <c r="F223" s="1851" t="s">
        <v>2421</v>
      </c>
      <c r="G223" s="1851" t="s">
        <v>2944</v>
      </c>
      <c r="H223" s="1851" t="s">
        <v>28</v>
      </c>
      <c r="I223" s="1851" t="s">
        <v>872</v>
      </c>
    </row>
    <row customHeight="1" ht="11.25">
      <c r="A224" s="1851" t="s">
        <v>2263</v>
      </c>
      <c r="B224" s="1851" t="s">
        <v>16</v>
      </c>
      <c r="C224" s="1851" t="s">
        <v>2945</v>
      </c>
      <c r="D224" s="1851" t="s">
        <v>2946</v>
      </c>
      <c r="E224" s="1851" t="s">
        <v>2947</v>
      </c>
      <c r="F224" s="1851" t="s">
        <v>2621</v>
      </c>
      <c r="G224" s="1851" t="s">
        <v>28</v>
      </c>
      <c r="H224" s="1851" t="s">
        <v>2480</v>
      </c>
      <c r="I224" s="1851" t="s">
        <v>872</v>
      </c>
    </row>
    <row customHeight="1" ht="11.25">
      <c r="A225" s="1851" t="s">
        <v>2263</v>
      </c>
      <c r="B225" s="1851" t="s">
        <v>16</v>
      </c>
      <c r="C225" s="1851" t="s">
        <v>2948</v>
      </c>
      <c r="D225" s="1851" t="s">
        <v>2949</v>
      </c>
      <c r="E225" s="1851" t="s">
        <v>2950</v>
      </c>
      <c r="F225" s="1851" t="s">
        <v>2503</v>
      </c>
      <c r="G225" s="1851" t="s">
        <v>28</v>
      </c>
      <c r="H225" s="1851" t="s">
        <v>2951</v>
      </c>
      <c r="I225" s="1851" t="s">
        <v>872</v>
      </c>
    </row>
    <row customHeight="1" ht="11.25">
      <c r="A226" s="1851" t="s">
        <v>2263</v>
      </c>
      <c r="B226" s="1851" t="s">
        <v>16</v>
      </c>
      <c r="C226" s="1851" t="s">
        <v>2952</v>
      </c>
      <c r="D226" s="1851" t="s">
        <v>2953</v>
      </c>
      <c r="E226" s="1851" t="s">
        <v>2954</v>
      </c>
      <c r="F226" s="1851" t="s">
        <v>2621</v>
      </c>
      <c r="G226" s="1851" t="s">
        <v>2955</v>
      </c>
      <c r="H226" s="1851" t="s">
        <v>2956</v>
      </c>
      <c r="I226" s="1851" t="s">
        <v>872</v>
      </c>
    </row>
    <row customHeight="1" ht="11.25">
      <c r="A227" s="1851" t="s">
        <v>2263</v>
      </c>
      <c r="B227" s="1851" t="s">
        <v>16</v>
      </c>
      <c r="C227" s="1851" t="s">
        <v>2463</v>
      </c>
      <c r="D227" s="1851" t="s">
        <v>2464</v>
      </c>
      <c r="E227" s="1851" t="s">
        <v>2465</v>
      </c>
      <c r="F227" s="1851" t="s">
        <v>2466</v>
      </c>
      <c r="G227" s="1851" t="s">
        <v>28</v>
      </c>
      <c r="H227" s="1851" t="s">
        <v>2385</v>
      </c>
      <c r="I227" s="1851" t="s">
        <v>872</v>
      </c>
    </row>
    <row customHeight="1" ht="11.25">
      <c r="A228" s="1851" t="s">
        <v>2263</v>
      </c>
      <c r="B228" s="1851" t="s">
        <v>16</v>
      </c>
      <c r="C228" s="1851" t="s">
        <v>2957</v>
      </c>
      <c r="D228" s="1851" t="s">
        <v>2958</v>
      </c>
      <c r="E228" s="1851" t="s">
        <v>2959</v>
      </c>
      <c r="F228" s="1851" t="s">
        <v>2384</v>
      </c>
      <c r="G228" s="1851" t="s">
        <v>28</v>
      </c>
      <c r="H228" s="1851" t="s">
        <v>28</v>
      </c>
      <c r="I228" s="1851" t="s">
        <v>872</v>
      </c>
    </row>
    <row customHeight="1" ht="11.25">
      <c r="A229" s="1851" t="s">
        <v>2263</v>
      </c>
      <c r="B229" s="1851" t="s">
        <v>16</v>
      </c>
      <c r="C229" s="1851" t="s">
        <v>2467</v>
      </c>
      <c r="D229" s="1851" t="s">
        <v>2468</v>
      </c>
      <c r="E229" s="1851" t="s">
        <v>2469</v>
      </c>
      <c r="F229" s="1851" t="s">
        <v>2470</v>
      </c>
      <c r="G229" s="1851" t="s">
        <v>2471</v>
      </c>
      <c r="H229" s="1851" t="s">
        <v>28</v>
      </c>
      <c r="I229" s="1851" t="s">
        <v>872</v>
      </c>
    </row>
    <row customHeight="1" ht="11.25">
      <c r="A230" s="1851" t="s">
        <v>2263</v>
      </c>
      <c r="B230" s="1851" t="s">
        <v>16</v>
      </c>
      <c r="C230" s="1851" t="s">
        <v>2472</v>
      </c>
      <c r="D230" s="1851" t="s">
        <v>2473</v>
      </c>
      <c r="E230" s="1851" t="s">
        <v>2474</v>
      </c>
      <c r="F230" s="1851" t="s">
        <v>2475</v>
      </c>
      <c r="G230" s="1851" t="s">
        <v>28</v>
      </c>
      <c r="H230" s="1851" t="s">
        <v>2476</v>
      </c>
      <c r="I230" s="1851" t="s">
        <v>872</v>
      </c>
    </row>
    <row customHeight="1" ht="11.25">
      <c r="A231" s="1851" t="s">
        <v>2263</v>
      </c>
      <c r="B231" s="1851" t="s">
        <v>16</v>
      </c>
      <c r="C231" s="1851" t="s">
        <v>2960</v>
      </c>
      <c r="D231" s="1851" t="s">
        <v>2961</v>
      </c>
      <c r="E231" s="1851" t="s">
        <v>2962</v>
      </c>
      <c r="F231" s="1851" t="s">
        <v>2621</v>
      </c>
      <c r="G231" s="1851" t="s">
        <v>28</v>
      </c>
      <c r="H231" s="1851" t="s">
        <v>28</v>
      </c>
      <c r="I231" s="1851" t="s">
        <v>872</v>
      </c>
    </row>
    <row customHeight="1" ht="11.25">
      <c r="A232" s="1851" t="s">
        <v>2263</v>
      </c>
      <c r="B232" s="1851" t="s">
        <v>16</v>
      </c>
      <c r="C232" s="1851" t="s">
        <v>2963</v>
      </c>
      <c r="D232" s="1851" t="s">
        <v>2964</v>
      </c>
      <c r="E232" s="1851" t="s">
        <v>2965</v>
      </c>
      <c r="F232" s="1851" t="s">
        <v>2966</v>
      </c>
      <c r="G232" s="1851" t="s">
        <v>28</v>
      </c>
      <c r="H232" s="1851" t="s">
        <v>2967</v>
      </c>
      <c r="I232" s="1851" t="s">
        <v>872</v>
      </c>
    </row>
    <row customHeight="1" ht="11.25">
      <c r="A233" s="1851" t="s">
        <v>2263</v>
      </c>
      <c r="B233" s="1851" t="s">
        <v>16</v>
      </c>
      <c r="C233" s="1851" t="s">
        <v>2477</v>
      </c>
      <c r="D233" s="1851" t="s">
        <v>2478</v>
      </c>
      <c r="E233" s="1851" t="s">
        <v>2479</v>
      </c>
      <c r="F233" s="1851" t="s">
        <v>2466</v>
      </c>
      <c r="G233" s="1851" t="s">
        <v>28</v>
      </c>
      <c r="H233" s="1851" t="s">
        <v>2480</v>
      </c>
      <c r="I233" s="1851" t="s">
        <v>872</v>
      </c>
    </row>
    <row customHeight="1" ht="11.25">
      <c r="A234" s="1851" t="s">
        <v>2263</v>
      </c>
      <c r="B234" s="1851" t="s">
        <v>16</v>
      </c>
      <c r="C234" s="1851" t="s">
        <v>2968</v>
      </c>
      <c r="D234" s="1851" t="s">
        <v>2969</v>
      </c>
      <c r="E234" s="1851" t="s">
        <v>2970</v>
      </c>
      <c r="F234" s="1851" t="s">
        <v>2389</v>
      </c>
      <c r="G234" s="1851" t="s">
        <v>2971</v>
      </c>
      <c r="H234" s="1851" t="s">
        <v>28</v>
      </c>
      <c r="I234" s="1851" t="s">
        <v>872</v>
      </c>
    </row>
    <row customHeight="1" ht="11.25">
      <c r="A235" s="1851" t="s">
        <v>2263</v>
      </c>
      <c r="B235" s="1851" t="s">
        <v>16</v>
      </c>
      <c r="C235" s="1851" t="s">
        <v>2481</v>
      </c>
      <c r="D235" s="1851" t="s">
        <v>2482</v>
      </c>
      <c r="E235" s="1851" t="s">
        <v>2483</v>
      </c>
      <c r="F235" s="1851" t="s">
        <v>2470</v>
      </c>
      <c r="G235" s="1851" t="s">
        <v>2484</v>
      </c>
      <c r="H235" s="1851" t="s">
        <v>28</v>
      </c>
      <c r="I235" s="1851" t="s">
        <v>872</v>
      </c>
    </row>
    <row customHeight="1" ht="11.25">
      <c r="A236" s="1851" t="s">
        <v>2263</v>
      </c>
      <c r="B236" s="1851" t="s">
        <v>16</v>
      </c>
      <c r="C236" s="1851" t="s">
        <v>2485</v>
      </c>
      <c r="D236" s="1851" t="s">
        <v>2486</v>
      </c>
      <c r="E236" s="1851" t="s">
        <v>2487</v>
      </c>
      <c r="F236" s="1851" t="s">
        <v>2488</v>
      </c>
      <c r="G236" s="1851" t="s">
        <v>28</v>
      </c>
      <c r="H236" s="1851" t="s">
        <v>2489</v>
      </c>
      <c r="I236" s="1851" t="s">
        <v>872</v>
      </c>
    </row>
    <row customHeight="1" ht="11.25">
      <c r="A237" s="1851" t="s">
        <v>2263</v>
      </c>
      <c r="B237" s="1851" t="s">
        <v>16</v>
      </c>
      <c r="C237" s="1851" t="s">
        <v>2490</v>
      </c>
      <c r="D237" s="1851" t="s">
        <v>2491</v>
      </c>
      <c r="E237" s="1851" t="s">
        <v>2492</v>
      </c>
      <c r="F237" s="1851" t="s">
        <v>2493</v>
      </c>
      <c r="G237" s="1851" t="s">
        <v>2494</v>
      </c>
      <c r="H237" s="1851" t="s">
        <v>2495</v>
      </c>
      <c r="I237" s="1851" t="s">
        <v>872</v>
      </c>
    </row>
    <row customHeight="1" ht="11.25">
      <c r="A238" s="1851" t="s">
        <v>2263</v>
      </c>
      <c r="B238" s="1851" t="s">
        <v>16</v>
      </c>
      <c r="C238" s="1851" t="s">
        <v>2972</v>
      </c>
      <c r="D238" s="1851" t="s">
        <v>2973</v>
      </c>
      <c r="E238" s="1851" t="s">
        <v>2974</v>
      </c>
      <c r="F238" s="1851" t="s">
        <v>2503</v>
      </c>
      <c r="G238" s="1851" t="s">
        <v>2975</v>
      </c>
      <c r="H238" s="1851" t="s">
        <v>28</v>
      </c>
      <c r="I238" s="1851" t="s">
        <v>872</v>
      </c>
    </row>
    <row customHeight="1" ht="11.25">
      <c r="A239" s="1851" t="s">
        <v>2263</v>
      </c>
      <c r="B239" s="1851" t="s">
        <v>16</v>
      </c>
      <c r="C239" s="1851" t="s">
        <v>2505</v>
      </c>
      <c r="D239" s="1851" t="s">
        <v>2506</v>
      </c>
      <c r="E239" s="1851" t="s">
        <v>2507</v>
      </c>
      <c r="F239" s="1851" t="s">
        <v>2475</v>
      </c>
      <c r="G239" s="1851" t="s">
        <v>2508</v>
      </c>
      <c r="H239" s="1851" t="s">
        <v>28</v>
      </c>
      <c r="I239" s="1851" t="s">
        <v>872</v>
      </c>
    </row>
    <row customHeight="1" ht="11.25">
      <c r="A240" s="1851" t="s">
        <v>2263</v>
      </c>
      <c r="B240" s="1851" t="s">
        <v>16</v>
      </c>
      <c r="C240" s="1851" t="s">
        <v>2519</v>
      </c>
      <c r="D240" s="1851" t="s">
        <v>2520</v>
      </c>
      <c r="E240" s="1851" t="s">
        <v>2521</v>
      </c>
      <c r="F240" s="1851" t="s">
        <v>2314</v>
      </c>
      <c r="G240" s="1851" t="s">
        <v>2522</v>
      </c>
      <c r="H240" s="1851" t="s">
        <v>28</v>
      </c>
      <c r="I240" s="1851" t="s">
        <v>872</v>
      </c>
    </row>
    <row customHeight="1" ht="11.25">
      <c r="A241" s="1851" t="s">
        <v>2263</v>
      </c>
      <c r="B241" s="1851" t="s">
        <v>16</v>
      </c>
      <c r="C241" s="1851" t="s">
        <v>2976</v>
      </c>
      <c r="D241" s="1851" t="s">
        <v>2977</v>
      </c>
      <c r="E241" s="1851" t="s">
        <v>2978</v>
      </c>
      <c r="F241" s="1851" t="s">
        <v>2291</v>
      </c>
      <c r="G241" s="1851" t="s">
        <v>28</v>
      </c>
      <c r="H241" s="1851" t="s">
        <v>28</v>
      </c>
      <c r="I241" s="1851" t="s">
        <v>872</v>
      </c>
    </row>
    <row customHeight="1" ht="11.25">
      <c r="A242" s="1851" t="s">
        <v>2263</v>
      </c>
      <c r="B242" s="1851" t="s">
        <v>16</v>
      </c>
      <c r="C242" s="1851" t="s">
        <v>2523</v>
      </c>
      <c r="D242" s="1851" t="s">
        <v>2524</v>
      </c>
      <c r="E242" s="1851" t="s">
        <v>2525</v>
      </c>
      <c r="F242" s="1851" t="s">
        <v>2314</v>
      </c>
      <c r="G242" s="1851" t="s">
        <v>2526</v>
      </c>
      <c r="H242" s="1851" t="s">
        <v>28</v>
      </c>
      <c r="I242" s="1851" t="s">
        <v>872</v>
      </c>
    </row>
    <row customHeight="1" ht="11.25">
      <c r="A243" s="1851" t="s">
        <v>2263</v>
      </c>
      <c r="B243" s="1851" t="s">
        <v>16</v>
      </c>
      <c r="C243" s="1851" t="s">
        <v>2979</v>
      </c>
      <c r="D243" s="1851" t="s">
        <v>2980</v>
      </c>
      <c r="E243" s="1851" t="s">
        <v>2981</v>
      </c>
      <c r="F243" s="1851" t="s">
        <v>2685</v>
      </c>
      <c r="G243" s="1851" t="s">
        <v>28</v>
      </c>
      <c r="H243" s="1851" t="s">
        <v>28</v>
      </c>
      <c r="I243" s="1851" t="s">
        <v>872</v>
      </c>
    </row>
    <row customHeight="1" ht="11.25">
      <c r="A244" s="1851" t="s">
        <v>2263</v>
      </c>
      <c r="B244" s="1851" t="s">
        <v>16</v>
      </c>
      <c r="C244" s="1851" t="s">
        <v>2527</v>
      </c>
      <c r="D244" s="1851" t="s">
        <v>2528</v>
      </c>
      <c r="E244" s="1851" t="s">
        <v>2529</v>
      </c>
      <c r="F244" s="1851" t="s">
        <v>2530</v>
      </c>
      <c r="G244" s="1851" t="s">
        <v>2531</v>
      </c>
      <c r="H244" s="1851" t="s">
        <v>28</v>
      </c>
      <c r="I244" s="1851" t="s">
        <v>872</v>
      </c>
    </row>
    <row customHeight="1" ht="11.25">
      <c r="A245" s="1851" t="s">
        <v>2263</v>
      </c>
      <c r="B245" s="1851" t="s">
        <v>16</v>
      </c>
      <c r="C245" s="1851" t="s">
        <v>2982</v>
      </c>
      <c r="D245" s="1851" t="s">
        <v>2983</v>
      </c>
      <c r="E245" s="1851" t="s">
        <v>2984</v>
      </c>
      <c r="F245" s="1851" t="s">
        <v>2314</v>
      </c>
      <c r="G245" s="1851" t="s">
        <v>2985</v>
      </c>
      <c r="H245" s="1851" t="s">
        <v>28</v>
      </c>
      <c r="I245" s="1851" t="s">
        <v>872</v>
      </c>
    </row>
    <row customHeight="1" ht="11.25">
      <c r="A246" s="1851" t="s">
        <v>2263</v>
      </c>
      <c r="B246" s="1851" t="s">
        <v>16</v>
      </c>
      <c r="C246" s="1851" t="s">
        <v>2986</v>
      </c>
      <c r="D246" s="1851" t="s">
        <v>2987</v>
      </c>
      <c r="E246" s="1851" t="s">
        <v>2988</v>
      </c>
      <c r="F246" s="1851" t="s">
        <v>2421</v>
      </c>
      <c r="G246" s="1851" t="s">
        <v>2989</v>
      </c>
      <c r="H246" s="1851" t="s">
        <v>28</v>
      </c>
      <c r="I246" s="1851" t="s">
        <v>872</v>
      </c>
    </row>
    <row customHeight="1" ht="11.25">
      <c r="A247" s="1851" t="s">
        <v>2263</v>
      </c>
      <c r="B247" s="1851" t="s">
        <v>16</v>
      </c>
      <c r="C247" s="1851" t="s">
        <v>2990</v>
      </c>
      <c r="D247" s="1851" t="s">
        <v>2991</v>
      </c>
      <c r="E247" s="1851" t="s">
        <v>2992</v>
      </c>
      <c r="F247" s="1851" t="s">
        <v>2653</v>
      </c>
      <c r="G247" s="1851" t="s">
        <v>28</v>
      </c>
      <c r="H247" s="1851" t="s">
        <v>28</v>
      </c>
      <c r="I247" s="1851" t="s">
        <v>872</v>
      </c>
    </row>
    <row customHeight="1" ht="11.25">
      <c r="A248" s="1851" t="s">
        <v>2263</v>
      </c>
      <c r="B248" s="1851" t="s">
        <v>16</v>
      </c>
      <c r="C248" s="1851" t="s">
        <v>2993</v>
      </c>
      <c r="D248" s="1851" t="s">
        <v>2994</v>
      </c>
      <c r="E248" s="1851" t="s">
        <v>2995</v>
      </c>
      <c r="F248" s="1851" t="s">
        <v>2421</v>
      </c>
      <c r="G248" s="1851" t="s">
        <v>28</v>
      </c>
      <c r="H248" s="1851" t="s">
        <v>28</v>
      </c>
      <c r="I248" s="1851" t="s">
        <v>872</v>
      </c>
    </row>
    <row customHeight="1" ht="11.25">
      <c r="A249" s="1851" t="s">
        <v>2263</v>
      </c>
      <c r="B249" s="1851" t="s">
        <v>16</v>
      </c>
      <c r="C249" s="1851" t="s">
        <v>2996</v>
      </c>
      <c r="D249" s="1851" t="s">
        <v>2997</v>
      </c>
      <c r="E249" s="1851" t="s">
        <v>2998</v>
      </c>
      <c r="F249" s="1851" t="s">
        <v>2389</v>
      </c>
      <c r="G249" s="1851" t="s">
        <v>2999</v>
      </c>
      <c r="H249" s="1851" t="s">
        <v>28</v>
      </c>
      <c r="I249" s="1851" t="s">
        <v>872</v>
      </c>
    </row>
    <row customHeight="1" ht="11.25">
      <c r="A250" s="1851" t="s">
        <v>2263</v>
      </c>
      <c r="B250" s="1851" t="s">
        <v>16</v>
      </c>
      <c r="C250" s="1851" t="s">
        <v>3000</v>
      </c>
      <c r="D250" s="1851" t="s">
        <v>2997</v>
      </c>
      <c r="E250" s="1851" t="s">
        <v>3001</v>
      </c>
      <c r="F250" s="1851" t="s">
        <v>2547</v>
      </c>
      <c r="G250" s="1851" t="s">
        <v>28</v>
      </c>
      <c r="H250" s="1851" t="s">
        <v>28</v>
      </c>
      <c r="I250" s="1851" t="s">
        <v>872</v>
      </c>
    </row>
    <row customHeight="1" ht="11.25">
      <c r="A251" s="1851" t="s">
        <v>2263</v>
      </c>
      <c r="B251" s="1851" t="s">
        <v>16</v>
      </c>
      <c r="C251" s="1851" t="s">
        <v>3002</v>
      </c>
      <c r="D251" s="1851" t="s">
        <v>3003</v>
      </c>
      <c r="E251" s="1851" t="s">
        <v>3004</v>
      </c>
      <c r="F251" s="1851" t="s">
        <v>2634</v>
      </c>
      <c r="G251" s="1851" t="s">
        <v>28</v>
      </c>
      <c r="H251" s="1851" t="s">
        <v>28</v>
      </c>
      <c r="I251" s="1851" t="s">
        <v>872</v>
      </c>
    </row>
    <row customHeight="1" ht="11.25">
      <c r="A252" s="1851" t="s">
        <v>2263</v>
      </c>
      <c r="B252" s="1851" t="s">
        <v>16</v>
      </c>
      <c r="C252" s="1851" t="s">
        <v>3005</v>
      </c>
      <c r="D252" s="1851" t="s">
        <v>3006</v>
      </c>
      <c r="E252" s="1851" t="s">
        <v>3007</v>
      </c>
      <c r="F252" s="1851" t="s">
        <v>2653</v>
      </c>
      <c r="G252" s="1851" t="s">
        <v>28</v>
      </c>
      <c r="H252" s="1851" t="s">
        <v>3008</v>
      </c>
      <c r="I252" s="1851" t="s">
        <v>872</v>
      </c>
    </row>
    <row customHeight="1" ht="11.25">
      <c r="A253" s="1851" t="s">
        <v>2263</v>
      </c>
      <c r="B253" s="1851" t="s">
        <v>16</v>
      </c>
      <c r="C253" s="1851" t="s">
        <v>3009</v>
      </c>
      <c r="D253" s="1851" t="s">
        <v>3010</v>
      </c>
      <c r="E253" s="1851" t="s">
        <v>3011</v>
      </c>
      <c r="F253" s="1851" t="s">
        <v>2309</v>
      </c>
      <c r="G253" s="1851" t="s">
        <v>28</v>
      </c>
      <c r="H253" s="1851" t="s">
        <v>3012</v>
      </c>
      <c r="I253" s="1851" t="s">
        <v>872</v>
      </c>
    </row>
    <row customHeight="1" ht="11.25">
      <c r="A254" s="1851" t="s">
        <v>2263</v>
      </c>
      <c r="B254" s="1851" t="s">
        <v>16</v>
      </c>
      <c r="C254" s="1851" t="s">
        <v>3013</v>
      </c>
      <c r="D254" s="1851" t="s">
        <v>3014</v>
      </c>
      <c r="E254" s="1851" t="s">
        <v>3015</v>
      </c>
      <c r="F254" s="1851" t="s">
        <v>2488</v>
      </c>
      <c r="G254" s="1851" t="s">
        <v>3016</v>
      </c>
      <c r="H254" s="1851" t="s">
        <v>28</v>
      </c>
      <c r="I254" s="1851" t="s">
        <v>872</v>
      </c>
    </row>
    <row customHeight="1" ht="11.25">
      <c r="A255" s="1851" t="s">
        <v>2263</v>
      </c>
      <c r="B255" s="1851" t="s">
        <v>16</v>
      </c>
      <c r="C255" s="1851" t="s">
        <v>2549</v>
      </c>
      <c r="D255" s="1851" t="s">
        <v>2550</v>
      </c>
      <c r="E255" s="1851" t="s">
        <v>2551</v>
      </c>
      <c r="F255" s="1851" t="s">
        <v>2466</v>
      </c>
      <c r="G255" s="1851" t="s">
        <v>2552</v>
      </c>
      <c r="H255" s="1851" t="s">
        <v>28</v>
      </c>
      <c r="I255" s="1851" t="s">
        <v>872</v>
      </c>
    </row>
    <row customHeight="1" ht="11.25">
      <c r="A256" s="1851" t="s">
        <v>2263</v>
      </c>
      <c r="B256" s="1851" t="s">
        <v>16</v>
      </c>
      <c r="C256" s="1851" t="s">
        <v>2553</v>
      </c>
      <c r="D256" s="1851" t="s">
        <v>2554</v>
      </c>
      <c r="E256" s="1851" t="s">
        <v>2555</v>
      </c>
      <c r="F256" s="1851" t="s">
        <v>2466</v>
      </c>
      <c r="G256" s="1851" t="s">
        <v>28</v>
      </c>
      <c r="H256" s="1851" t="s">
        <v>2556</v>
      </c>
      <c r="I256" s="1851" t="s">
        <v>872</v>
      </c>
    </row>
    <row customHeight="1" ht="11.25">
      <c r="A257" s="1851" t="s">
        <v>2263</v>
      </c>
      <c r="B257" s="1851" t="s">
        <v>16</v>
      </c>
      <c r="C257" s="1851" t="s">
        <v>3017</v>
      </c>
      <c r="D257" s="1851" t="s">
        <v>3018</v>
      </c>
      <c r="E257" s="1851" t="s">
        <v>3019</v>
      </c>
      <c r="F257" s="1851" t="s">
        <v>2466</v>
      </c>
      <c r="G257" s="1851" t="s">
        <v>28</v>
      </c>
      <c r="H257" s="1851" t="s">
        <v>3020</v>
      </c>
      <c r="I257" s="1851" t="s">
        <v>872</v>
      </c>
    </row>
    <row customHeight="1" ht="11.25">
      <c r="A258" s="1851" t="s">
        <v>2263</v>
      </c>
      <c r="B258" s="1851" t="s">
        <v>16</v>
      </c>
      <c r="C258" s="1851" t="s">
        <v>2564</v>
      </c>
      <c r="D258" s="1851" t="s">
        <v>2565</v>
      </c>
      <c r="E258" s="1851" t="s">
        <v>2566</v>
      </c>
      <c r="F258" s="1851" t="s">
        <v>2493</v>
      </c>
      <c r="G258" s="1851" t="s">
        <v>2567</v>
      </c>
      <c r="H258" s="1851" t="s">
        <v>28</v>
      </c>
      <c r="I258" s="1851" t="s">
        <v>872</v>
      </c>
    </row>
    <row customHeight="1" ht="11.25">
      <c r="A259" s="1851" t="s">
        <v>2263</v>
      </c>
      <c r="B259" s="1851" t="s">
        <v>16</v>
      </c>
      <c r="C259" s="1851" t="s">
        <v>2568</v>
      </c>
      <c r="D259" s="1851" t="s">
        <v>2569</v>
      </c>
      <c r="E259" s="1851" t="s">
        <v>2570</v>
      </c>
      <c r="F259" s="1851" t="s">
        <v>52</v>
      </c>
      <c r="G259" s="1851" t="s">
        <v>2571</v>
      </c>
      <c r="H259" s="1851" t="s">
        <v>2572</v>
      </c>
      <c r="I259" s="1851" t="s">
        <v>872</v>
      </c>
    </row>
    <row customHeight="1" ht="11.25">
      <c r="A260" s="1851" t="s">
        <v>2263</v>
      </c>
      <c r="B260" s="1851" t="s">
        <v>16</v>
      </c>
      <c r="C260" s="1851" t="s">
        <v>2573</v>
      </c>
      <c r="D260" s="1851" t="s">
        <v>2574</v>
      </c>
      <c r="E260" s="1851" t="s">
        <v>2575</v>
      </c>
      <c r="F260" s="1851" t="s">
        <v>2314</v>
      </c>
      <c r="G260" s="1851" t="s">
        <v>2576</v>
      </c>
      <c r="H260" s="1851" t="s">
        <v>28</v>
      </c>
      <c r="I260" s="1851" t="s">
        <v>872</v>
      </c>
    </row>
    <row customHeight="1" ht="11.25">
      <c r="A261" s="1851" t="s">
        <v>2263</v>
      </c>
      <c r="B261" s="1851" t="s">
        <v>16</v>
      </c>
      <c r="C261" s="1851" t="s">
        <v>2577</v>
      </c>
      <c r="D261" s="1851" t="s">
        <v>2578</v>
      </c>
      <c r="E261" s="1851" t="s">
        <v>2579</v>
      </c>
      <c r="F261" s="1851" t="s">
        <v>2466</v>
      </c>
      <c r="G261" s="1851" t="s">
        <v>2580</v>
      </c>
      <c r="H261" s="1851" t="s">
        <v>28</v>
      </c>
      <c r="I261" s="1851" t="s">
        <v>872</v>
      </c>
    </row>
    <row customHeight="1" ht="11.25">
      <c r="A262" s="1851" t="s">
        <v>2263</v>
      </c>
      <c r="B262" s="1851" t="s">
        <v>16</v>
      </c>
      <c r="C262" s="1851" t="s">
        <v>2590</v>
      </c>
      <c r="D262" s="1851" t="s">
        <v>2591</v>
      </c>
      <c r="E262" s="1851" t="s">
        <v>2592</v>
      </c>
      <c r="F262" s="1851" t="s">
        <v>2389</v>
      </c>
      <c r="G262" s="1851" t="s">
        <v>2495</v>
      </c>
      <c r="H262" s="1851" t="s">
        <v>28</v>
      </c>
      <c r="I262" s="1851" t="s">
        <v>872</v>
      </c>
    </row>
    <row customHeight="1" ht="11.25">
      <c r="A263" s="1851" t="s">
        <v>2263</v>
      </c>
      <c r="B263" s="1851" t="s">
        <v>16</v>
      </c>
      <c r="C263" s="1851" t="s">
        <v>3021</v>
      </c>
      <c r="D263" s="1851" t="s">
        <v>3022</v>
      </c>
      <c r="E263" s="1851" t="s">
        <v>3023</v>
      </c>
      <c r="F263" s="1851" t="s">
        <v>2466</v>
      </c>
      <c r="G263" s="1851" t="s">
        <v>28</v>
      </c>
      <c r="H263" s="1851" t="s">
        <v>28</v>
      </c>
      <c r="I263" s="1851" t="s">
        <v>872</v>
      </c>
    </row>
    <row customHeight="1" ht="11.25">
      <c r="A264" s="1851" t="s">
        <v>2263</v>
      </c>
      <c r="B264" s="1851" t="s">
        <v>16</v>
      </c>
      <c r="C264" s="1851" t="s">
        <v>3024</v>
      </c>
      <c r="D264" s="1851" t="s">
        <v>3025</v>
      </c>
      <c r="E264" s="1851" t="s">
        <v>3026</v>
      </c>
      <c r="F264" s="1851" t="s">
        <v>2403</v>
      </c>
      <c r="G264" s="1851" t="s">
        <v>3027</v>
      </c>
      <c r="H264" s="1851" t="s">
        <v>3028</v>
      </c>
      <c r="I264" s="1851" t="s">
        <v>872</v>
      </c>
    </row>
    <row customHeight="1" ht="11.25">
      <c r="A265" s="1851" t="s">
        <v>2263</v>
      </c>
      <c r="B265" s="1851" t="s">
        <v>16</v>
      </c>
      <c r="C265" s="1851" t="s">
        <v>2614</v>
      </c>
      <c r="D265" s="1851" t="s">
        <v>2615</v>
      </c>
      <c r="E265" s="1851" t="s">
        <v>2616</v>
      </c>
      <c r="F265" s="1851" t="s">
        <v>2389</v>
      </c>
      <c r="G265" s="1851" t="s">
        <v>2617</v>
      </c>
      <c r="H265" s="1851" t="s">
        <v>28</v>
      </c>
      <c r="I265" s="1851" t="s">
        <v>872</v>
      </c>
    </row>
    <row customHeight="1" ht="11.25">
      <c r="A266" s="1851" t="s">
        <v>2263</v>
      </c>
      <c r="B266" s="1851" t="s">
        <v>16</v>
      </c>
      <c r="C266" s="1851" t="s">
        <v>2623</v>
      </c>
      <c r="D266" s="1851" t="s">
        <v>2624</v>
      </c>
      <c r="E266" s="1851" t="s">
        <v>2625</v>
      </c>
      <c r="F266" s="1851" t="s">
        <v>2389</v>
      </c>
      <c r="G266" s="1851" t="s">
        <v>2626</v>
      </c>
      <c r="H266" s="1851" t="s">
        <v>28</v>
      </c>
      <c r="I266" s="1851" t="s">
        <v>872</v>
      </c>
    </row>
    <row customHeight="1" ht="11.25">
      <c r="A267" s="1851" t="s">
        <v>2263</v>
      </c>
      <c r="B267" s="1851" t="s">
        <v>16</v>
      </c>
      <c r="C267" s="1851" t="s">
        <v>2650</v>
      </c>
      <c r="D267" s="1851" t="s">
        <v>2651</v>
      </c>
      <c r="E267" s="1851" t="s">
        <v>2652</v>
      </c>
      <c r="F267" s="1851" t="s">
        <v>2653</v>
      </c>
      <c r="G267" s="1851" t="s">
        <v>2654</v>
      </c>
      <c r="H267" s="1851" t="s">
        <v>28</v>
      </c>
      <c r="I267" s="1851" t="s">
        <v>872</v>
      </c>
    </row>
    <row customHeight="1" ht="11.25">
      <c r="A268" s="1851" t="s">
        <v>2263</v>
      </c>
      <c r="B268" s="1851" t="s">
        <v>16</v>
      </c>
      <c r="C268" s="1851" t="s">
        <v>2658</v>
      </c>
      <c r="D268" s="1851" t="s">
        <v>2659</v>
      </c>
      <c r="E268" s="1851" t="s">
        <v>2660</v>
      </c>
      <c r="F268" s="1851" t="s">
        <v>2466</v>
      </c>
      <c r="G268" s="1851" t="s">
        <v>2661</v>
      </c>
      <c r="H268" s="1851" t="s">
        <v>28</v>
      </c>
      <c r="I268" s="1851" t="s">
        <v>872</v>
      </c>
    </row>
    <row customHeight="1" ht="11.25">
      <c r="A269" s="1851" t="s">
        <v>2263</v>
      </c>
      <c r="B269" s="1851" t="s">
        <v>16</v>
      </c>
      <c r="C269" s="1851" t="s">
        <v>2662</v>
      </c>
      <c r="D269" s="1851" t="s">
        <v>2663</v>
      </c>
      <c r="E269" s="1851" t="s">
        <v>2664</v>
      </c>
      <c r="F269" s="1851" t="s">
        <v>2466</v>
      </c>
      <c r="G269" s="1851" t="s">
        <v>2665</v>
      </c>
      <c r="H269" s="1851" t="s">
        <v>28</v>
      </c>
      <c r="I269" s="1851" t="s">
        <v>872</v>
      </c>
    </row>
    <row customHeight="1" ht="11.25">
      <c r="A270" s="1851" t="s">
        <v>2263</v>
      </c>
      <c r="B270" s="1851" t="s">
        <v>16</v>
      </c>
      <c r="C270" s="1851" t="s">
        <v>2666</v>
      </c>
      <c r="D270" s="1851" t="s">
        <v>2667</v>
      </c>
      <c r="E270" s="1851" t="s">
        <v>2668</v>
      </c>
      <c r="F270" s="1851" t="s">
        <v>2621</v>
      </c>
      <c r="G270" s="1851" t="s">
        <v>2669</v>
      </c>
      <c r="H270" s="1851" t="s">
        <v>28</v>
      </c>
      <c r="I270" s="1851" t="s">
        <v>872</v>
      </c>
    </row>
    <row customHeight="1" ht="11.25">
      <c r="A271" s="1851" t="s">
        <v>2263</v>
      </c>
      <c r="B271" s="1851" t="s">
        <v>16</v>
      </c>
      <c r="C271" s="1851" t="s">
        <v>2674</v>
      </c>
      <c r="D271" s="1851" t="s">
        <v>2675</v>
      </c>
      <c r="E271" s="1851" t="s">
        <v>2676</v>
      </c>
      <c r="F271" s="1851" t="s">
        <v>2466</v>
      </c>
      <c r="G271" s="1851" t="s">
        <v>2677</v>
      </c>
      <c r="H271" s="1851" t="s">
        <v>28</v>
      </c>
      <c r="I271" s="1851" t="s">
        <v>872</v>
      </c>
    </row>
    <row customHeight="1" ht="11.25">
      <c r="A272" s="1851" t="s">
        <v>2263</v>
      </c>
      <c r="B272" s="1851" t="s">
        <v>16</v>
      </c>
      <c r="C272" s="1851" t="s">
        <v>2678</v>
      </c>
      <c r="D272" s="1851" t="s">
        <v>2679</v>
      </c>
      <c r="E272" s="1851" t="s">
        <v>2680</v>
      </c>
      <c r="F272" s="1851" t="s">
        <v>2389</v>
      </c>
      <c r="G272" s="1851" t="s">
        <v>2681</v>
      </c>
      <c r="H272" s="1851" t="s">
        <v>28</v>
      </c>
      <c r="I272" s="1851" t="s">
        <v>872</v>
      </c>
    </row>
    <row customHeight="1" ht="11.25">
      <c r="A273" s="1851" t="s">
        <v>2263</v>
      </c>
      <c r="B273" s="1851" t="s">
        <v>16</v>
      </c>
      <c r="C273" s="1851" t="s">
        <v>2705</v>
      </c>
      <c r="D273" s="1851" t="s">
        <v>2706</v>
      </c>
      <c r="E273" s="1851" t="s">
        <v>2707</v>
      </c>
      <c r="F273" s="1851" t="s">
        <v>2466</v>
      </c>
      <c r="G273" s="1851" t="s">
        <v>2661</v>
      </c>
      <c r="H273" s="1851" t="s">
        <v>28</v>
      </c>
      <c r="I273" s="1851" t="s">
        <v>872</v>
      </c>
    </row>
    <row customHeight="1" ht="11.25">
      <c r="A274" s="1851" t="s">
        <v>2263</v>
      </c>
      <c r="B274" s="1851" t="s">
        <v>16</v>
      </c>
      <c r="C274" s="1851" t="s">
        <v>2711</v>
      </c>
      <c r="D274" s="1851" t="s">
        <v>2712</v>
      </c>
      <c r="E274" s="1851" t="s">
        <v>2713</v>
      </c>
      <c r="F274" s="1851" t="s">
        <v>2291</v>
      </c>
      <c r="G274" s="1851" t="s">
        <v>2571</v>
      </c>
      <c r="H274" s="1851" t="s">
        <v>2572</v>
      </c>
      <c r="I274" s="1851" t="s">
        <v>872</v>
      </c>
    </row>
    <row customHeight="1" ht="11.25">
      <c r="A275" s="1851" t="s">
        <v>2263</v>
      </c>
      <c r="B275" s="1851" t="s">
        <v>16</v>
      </c>
      <c r="C275" s="1851" t="s">
        <v>2718</v>
      </c>
      <c r="D275" s="1851" t="s">
        <v>2719</v>
      </c>
      <c r="E275" s="1851" t="s">
        <v>2720</v>
      </c>
      <c r="F275" s="1851" t="s">
        <v>2314</v>
      </c>
      <c r="G275" s="1851" t="s">
        <v>2721</v>
      </c>
      <c r="H275" s="1851" t="s">
        <v>28</v>
      </c>
      <c r="I275" s="1851" t="s">
        <v>872</v>
      </c>
    </row>
    <row customHeight="1" ht="11.25">
      <c r="A276" s="1851" t="s">
        <v>2263</v>
      </c>
      <c r="B276" s="1851" t="s">
        <v>16</v>
      </c>
      <c r="C276" s="1851" t="s">
        <v>2738</v>
      </c>
      <c r="D276" s="1851" t="s">
        <v>2739</v>
      </c>
      <c r="E276" s="1851" t="s">
        <v>2740</v>
      </c>
      <c r="F276" s="1851" t="s">
        <v>2314</v>
      </c>
      <c r="G276" s="1851" t="s">
        <v>28</v>
      </c>
      <c r="H276" s="1851" t="s">
        <v>28</v>
      </c>
      <c r="I276" s="1851" t="s">
        <v>872</v>
      </c>
    </row>
    <row customHeight="1" ht="11.25">
      <c r="A277" s="1851" t="s">
        <v>2263</v>
      </c>
      <c r="B277" s="1851" t="s">
        <v>16</v>
      </c>
      <c r="C277" s="1851" t="s">
        <v>3029</v>
      </c>
      <c r="D277" s="1851" t="s">
        <v>3030</v>
      </c>
      <c r="E277" s="1851" t="s">
        <v>3031</v>
      </c>
      <c r="F277" s="1851" t="s">
        <v>52</v>
      </c>
      <c r="G277" s="1851" t="s">
        <v>3032</v>
      </c>
      <c r="H277" s="1851" t="s">
        <v>28</v>
      </c>
      <c r="I277" s="1851" t="s">
        <v>872</v>
      </c>
    </row>
    <row customHeight="1" ht="11.25">
      <c r="A278" s="1851" t="s">
        <v>2263</v>
      </c>
      <c r="B278" s="1851" t="s">
        <v>16</v>
      </c>
      <c r="C278" s="1851" t="s">
        <v>2741</v>
      </c>
      <c r="D278" s="1851" t="s">
        <v>2742</v>
      </c>
      <c r="E278" s="1851" t="s">
        <v>2337</v>
      </c>
      <c r="F278" s="1851" t="s">
        <v>2743</v>
      </c>
      <c r="G278" s="1851" t="s">
        <v>28</v>
      </c>
      <c r="H278" s="1851" t="s">
        <v>28</v>
      </c>
      <c r="I278" s="1851" t="s">
        <v>872</v>
      </c>
    </row>
    <row customHeight="1" ht="11.25">
      <c r="A279" s="1851" t="s">
        <v>2263</v>
      </c>
      <c r="B279" s="1851" t="s">
        <v>16</v>
      </c>
      <c r="C279" s="1851" t="s">
        <v>2752</v>
      </c>
      <c r="D279" s="1851" t="s">
        <v>2753</v>
      </c>
      <c r="E279" s="1851" t="s">
        <v>2754</v>
      </c>
      <c r="F279" s="1851" t="s">
        <v>2314</v>
      </c>
      <c r="G279" s="1851" t="s">
        <v>2755</v>
      </c>
      <c r="H279" s="1851" t="s">
        <v>28</v>
      </c>
      <c r="I279" s="1851" t="s">
        <v>872</v>
      </c>
    </row>
    <row customHeight="1" ht="11.25">
      <c r="A280" s="1851" t="s">
        <v>2263</v>
      </c>
      <c r="B280" s="1851" t="s">
        <v>16</v>
      </c>
      <c r="C280" s="1851" t="s">
        <v>2771</v>
      </c>
      <c r="D280" s="1851" t="s">
        <v>2772</v>
      </c>
      <c r="E280" s="1851" t="s">
        <v>2773</v>
      </c>
      <c r="F280" s="1851" t="s">
        <v>2271</v>
      </c>
      <c r="G280" s="1851" t="s">
        <v>2774</v>
      </c>
      <c r="H280" s="1851" t="s">
        <v>28</v>
      </c>
      <c r="I280" s="1851" t="s">
        <v>872</v>
      </c>
    </row>
    <row customHeight="1" ht="11.25">
      <c r="A281" s="1851" t="s">
        <v>2263</v>
      </c>
      <c r="B281" s="1851" t="s">
        <v>16</v>
      </c>
      <c r="C281" s="1851" t="s">
        <v>2788</v>
      </c>
      <c r="D281" s="1851" t="s">
        <v>2789</v>
      </c>
      <c r="E281" s="1851" t="s">
        <v>2790</v>
      </c>
      <c r="F281" s="1851" t="s">
        <v>2421</v>
      </c>
      <c r="G281" s="1851" t="s">
        <v>2791</v>
      </c>
      <c r="H281" s="1851" t="s">
        <v>28</v>
      </c>
      <c r="I281" s="1851" t="s">
        <v>872</v>
      </c>
    </row>
    <row customHeight="1" ht="11.25">
      <c r="A282" s="1851" t="s">
        <v>2263</v>
      </c>
      <c r="B282" s="1851" t="s">
        <v>16</v>
      </c>
      <c r="C282" s="1851" t="s">
        <v>2795</v>
      </c>
      <c r="D282" s="1851" t="s">
        <v>2796</v>
      </c>
      <c r="E282" s="1851" t="s">
        <v>2797</v>
      </c>
      <c r="F282" s="1851" t="s">
        <v>2314</v>
      </c>
      <c r="G282" s="1851" t="s">
        <v>2798</v>
      </c>
      <c r="H282" s="1851" t="s">
        <v>28</v>
      </c>
      <c r="I282" s="1851" t="s">
        <v>872</v>
      </c>
    </row>
    <row customHeight="1" ht="11.25">
      <c r="A283" s="1851" t="s">
        <v>2263</v>
      </c>
      <c r="B283" s="1851" t="s">
        <v>16</v>
      </c>
      <c r="C283" s="1851" t="s">
        <v>13</v>
      </c>
      <c r="D283" s="1851" t="s">
        <v>47</v>
      </c>
      <c r="E283" s="1851" t="s">
        <v>50</v>
      </c>
      <c r="F283" s="1851" t="s">
        <v>52</v>
      </c>
      <c r="G283" s="1851" t="s">
        <v>2816</v>
      </c>
      <c r="H283" s="1851" t="s">
        <v>28</v>
      </c>
      <c r="I283" s="1851" t="s">
        <v>872</v>
      </c>
    </row>
    <row customHeight="1" ht="11.25">
      <c r="A284" s="1851" t="s">
        <v>2263</v>
      </c>
      <c r="B284" s="1851" t="s">
        <v>16</v>
      </c>
      <c r="C284" s="1851" t="s">
        <v>3033</v>
      </c>
      <c r="D284" s="1851" t="s">
        <v>3034</v>
      </c>
      <c r="E284" s="1851" t="s">
        <v>3035</v>
      </c>
      <c r="F284" s="1851" t="s">
        <v>2309</v>
      </c>
      <c r="G284" s="1851" t="s">
        <v>3036</v>
      </c>
      <c r="H284" s="1851" t="s">
        <v>28</v>
      </c>
      <c r="I284" s="1851" t="s">
        <v>872</v>
      </c>
    </row>
    <row customHeight="1" ht="11.25">
      <c r="A285" s="1851" t="s">
        <v>2263</v>
      </c>
      <c r="B285" s="1851" t="s">
        <v>16</v>
      </c>
      <c r="C285" s="1851" t="s">
        <v>2836</v>
      </c>
      <c r="D285" s="1851" t="s">
        <v>2837</v>
      </c>
      <c r="E285" s="1851" t="s">
        <v>2838</v>
      </c>
      <c r="F285" s="1851" t="s">
        <v>2839</v>
      </c>
      <c r="G285" s="1851" t="s">
        <v>28</v>
      </c>
      <c r="H285" s="1851" t="s">
        <v>28</v>
      </c>
      <c r="I285" s="1851" t="s">
        <v>872</v>
      </c>
    </row>
    <row customHeight="1" ht="11.25">
      <c r="A286" s="1851" t="s">
        <v>2263</v>
      </c>
      <c r="B286" s="1851" t="s">
        <v>16</v>
      </c>
      <c r="C286" s="1851" t="s">
        <v>2840</v>
      </c>
      <c r="D286" s="1851" t="s">
        <v>2841</v>
      </c>
      <c r="E286" s="1851" t="s">
        <v>2842</v>
      </c>
      <c r="F286" s="1851" t="s">
        <v>52</v>
      </c>
      <c r="G286" s="1851" t="s">
        <v>2843</v>
      </c>
      <c r="H286" s="1851" t="s">
        <v>28</v>
      </c>
      <c r="I286" s="1851" t="s">
        <v>872</v>
      </c>
    </row>
    <row customHeight="1" ht="11.25">
      <c r="A287" s="1851" t="s">
        <v>2263</v>
      </c>
      <c r="B287" s="1851" t="s">
        <v>16</v>
      </c>
      <c r="C287" s="1851" t="s">
        <v>2844</v>
      </c>
      <c r="D287" s="1851" t="s">
        <v>2845</v>
      </c>
      <c r="E287" s="1851" t="s">
        <v>2846</v>
      </c>
      <c r="F287" s="1851" t="s">
        <v>2493</v>
      </c>
      <c r="G287" s="1851" t="s">
        <v>2847</v>
      </c>
      <c r="H287" s="1851" t="s">
        <v>28</v>
      </c>
      <c r="I287" s="1851" t="s">
        <v>872</v>
      </c>
    </row>
    <row customHeight="1" ht="11.25">
      <c r="A288" s="1851" t="s">
        <v>2263</v>
      </c>
      <c r="B288" s="1851" t="s">
        <v>16</v>
      </c>
      <c r="C288" s="1851" t="s">
        <v>2848</v>
      </c>
      <c r="D288" s="1851" t="s">
        <v>2849</v>
      </c>
      <c r="E288" s="1851" t="s">
        <v>2850</v>
      </c>
      <c r="F288" s="1851" t="s">
        <v>2314</v>
      </c>
      <c r="G288" s="1851" t="s">
        <v>28</v>
      </c>
      <c r="H288" s="1851" t="s">
        <v>28</v>
      </c>
      <c r="I288" s="1851" t="s">
        <v>872</v>
      </c>
    </row>
    <row customHeight="1" ht="11.25">
      <c r="A289" s="1851" t="s">
        <v>2263</v>
      </c>
      <c r="B289" s="1851" t="s">
        <v>16</v>
      </c>
      <c r="C289" s="1851" t="s">
        <v>2851</v>
      </c>
      <c r="D289" s="1851" t="s">
        <v>2852</v>
      </c>
      <c r="E289" s="1851" t="s">
        <v>2853</v>
      </c>
      <c r="F289" s="1851" t="s">
        <v>2466</v>
      </c>
      <c r="G289" s="1851" t="s">
        <v>2854</v>
      </c>
      <c r="H289" s="1851" t="s">
        <v>28</v>
      </c>
      <c r="I289" s="1851" t="s">
        <v>872</v>
      </c>
    </row>
    <row customHeight="1" ht="11.25">
      <c r="A290" s="1851" t="s">
        <v>2263</v>
      </c>
      <c r="B290" s="1851" t="s">
        <v>16</v>
      </c>
      <c r="C290" s="1851" t="s">
        <v>2855</v>
      </c>
      <c r="D290" s="1851" t="s">
        <v>2856</v>
      </c>
      <c r="E290" s="1851" t="s">
        <v>2857</v>
      </c>
      <c r="F290" s="1851" t="s">
        <v>2466</v>
      </c>
      <c r="G290" s="1851" t="s">
        <v>2858</v>
      </c>
      <c r="H290" s="1851" t="s">
        <v>28</v>
      </c>
      <c r="I290" s="1851" t="s">
        <v>872</v>
      </c>
    </row>
    <row customHeight="1" ht="11.25">
      <c r="A291" s="1851" t="s">
        <v>2263</v>
      </c>
      <c r="B291" s="1851" t="s">
        <v>16</v>
      </c>
      <c r="C291" s="1851" t="s">
        <v>2868</v>
      </c>
      <c r="D291" s="1851" t="s">
        <v>2869</v>
      </c>
      <c r="E291" s="1851" t="s">
        <v>2838</v>
      </c>
      <c r="F291" s="1851" t="s">
        <v>2870</v>
      </c>
      <c r="G291" s="1851" t="s">
        <v>28</v>
      </c>
      <c r="H291" s="1851" t="s">
        <v>28</v>
      </c>
      <c r="I291" s="1851" t="s">
        <v>872</v>
      </c>
    </row>
    <row customHeight="1" ht="11.25">
      <c r="A292" s="1851" t="s">
        <v>2263</v>
      </c>
      <c r="B292" s="1851" t="s">
        <v>16</v>
      </c>
      <c r="C292" s="1851" t="s">
        <v>2871</v>
      </c>
      <c r="D292" s="1851" t="s">
        <v>2872</v>
      </c>
      <c r="E292" s="1851" t="s">
        <v>2337</v>
      </c>
      <c r="F292" s="1851" t="s">
        <v>2862</v>
      </c>
      <c r="G292" s="1851" t="s">
        <v>28</v>
      </c>
      <c r="H292" s="1851" t="s">
        <v>28</v>
      </c>
      <c r="I292" s="1851" t="s">
        <v>872</v>
      </c>
    </row>
    <row customHeight="1" ht="11.25">
      <c r="A293" s="1851" t="s">
        <v>2263</v>
      </c>
      <c r="B293" s="1851" t="s">
        <v>16</v>
      </c>
      <c r="C293" s="1851" t="s">
        <v>2873</v>
      </c>
      <c r="D293" s="1851" t="s">
        <v>2872</v>
      </c>
      <c r="E293" s="1851" t="s">
        <v>2337</v>
      </c>
      <c r="F293" s="1851" t="s">
        <v>2874</v>
      </c>
      <c r="G293" s="1851" t="s">
        <v>2339</v>
      </c>
      <c r="H293" s="1851" t="s">
        <v>28</v>
      </c>
      <c r="I293" s="1851" t="s">
        <v>872</v>
      </c>
    </row>
    <row customHeight="1" ht="11.25">
      <c r="A294" s="1851" t="s">
        <v>2263</v>
      </c>
      <c r="B294" s="1851" t="s">
        <v>16</v>
      </c>
      <c r="C294" s="1851" t="s">
        <v>2875</v>
      </c>
      <c r="D294" s="1851" t="s">
        <v>2876</v>
      </c>
      <c r="E294" s="1851" t="s">
        <v>2877</v>
      </c>
      <c r="F294" s="1851" t="s">
        <v>2878</v>
      </c>
      <c r="G294" s="1851" t="s">
        <v>2879</v>
      </c>
      <c r="H294" s="1851" t="s">
        <v>28</v>
      </c>
      <c r="I294" s="1851" t="s">
        <v>872</v>
      </c>
    </row>
    <row customHeight="1" ht="11.25">
      <c r="A295" s="1851" t="s">
        <v>2263</v>
      </c>
      <c r="B295" s="1851" t="s">
        <v>16</v>
      </c>
      <c r="C295" s="1851" t="s">
        <v>2264</v>
      </c>
      <c r="D295" s="1851" t="s">
        <v>2265</v>
      </c>
      <c r="E295" s="1851" t="s">
        <v>2266</v>
      </c>
      <c r="F295" s="1851" t="s">
        <v>52</v>
      </c>
      <c r="G295" s="1851" t="s">
        <v>2267</v>
      </c>
      <c r="H295" s="1851" t="s">
        <v>28</v>
      </c>
      <c r="I295" s="1851" t="s">
        <v>925</v>
      </c>
    </row>
    <row customHeight="1" ht="11.25">
      <c r="A296" s="1851" t="s">
        <v>2263</v>
      </c>
      <c r="B296" s="1851" t="s">
        <v>16</v>
      </c>
      <c r="C296" s="1851" t="s">
        <v>2273</v>
      </c>
      <c r="D296" s="1851" t="s">
        <v>2274</v>
      </c>
      <c r="E296" s="1851" t="s">
        <v>2275</v>
      </c>
      <c r="F296" s="1851" t="s">
        <v>2276</v>
      </c>
      <c r="G296" s="1851" t="s">
        <v>28</v>
      </c>
      <c r="H296" s="1851" t="s">
        <v>28</v>
      </c>
      <c r="I296" s="1851" t="s">
        <v>925</v>
      </c>
    </row>
    <row customHeight="1" ht="11.25">
      <c r="A297" s="1851" t="s">
        <v>2263</v>
      </c>
      <c r="B297" s="1851" t="s">
        <v>16</v>
      </c>
      <c r="C297" s="1851" t="s">
        <v>2887</v>
      </c>
      <c r="D297" s="1851" t="s">
        <v>2888</v>
      </c>
      <c r="E297" s="1851" t="s">
        <v>2889</v>
      </c>
      <c r="F297" s="1851" t="s">
        <v>2653</v>
      </c>
      <c r="G297" s="1851" t="s">
        <v>28</v>
      </c>
      <c r="H297" s="1851" t="s">
        <v>28</v>
      </c>
      <c r="I297" s="1851" t="s">
        <v>925</v>
      </c>
    </row>
    <row customHeight="1" ht="11.25">
      <c r="A298" s="1851" t="s">
        <v>2263</v>
      </c>
      <c r="B298" s="1851" t="s">
        <v>16</v>
      </c>
      <c r="C298" s="1851" t="s">
        <v>2280</v>
      </c>
      <c r="D298" s="1851" t="s">
        <v>2281</v>
      </c>
      <c r="E298" s="1851" t="s">
        <v>2282</v>
      </c>
      <c r="F298" s="1851" t="s">
        <v>52</v>
      </c>
      <c r="G298" s="1851" t="s">
        <v>2283</v>
      </c>
      <c r="H298" s="1851" t="s">
        <v>28</v>
      </c>
      <c r="I298" s="1851" t="s">
        <v>925</v>
      </c>
    </row>
    <row customHeight="1" ht="11.25">
      <c r="A299" s="1851" t="s">
        <v>2263</v>
      </c>
      <c r="B299" s="1851" t="s">
        <v>16</v>
      </c>
      <c r="C299" s="1851" t="s">
        <v>2284</v>
      </c>
      <c r="D299" s="1851" t="s">
        <v>2285</v>
      </c>
      <c r="E299" s="1851" t="s">
        <v>2286</v>
      </c>
      <c r="F299" s="1851" t="s">
        <v>52</v>
      </c>
      <c r="G299" s="1851" t="s">
        <v>2287</v>
      </c>
      <c r="H299" s="1851" t="s">
        <v>28</v>
      </c>
      <c r="I299" s="1851" t="s">
        <v>925</v>
      </c>
    </row>
    <row customHeight="1" ht="11.25">
      <c r="A300" s="1851" t="s">
        <v>2263</v>
      </c>
      <c r="B300" s="1851" t="s">
        <v>16</v>
      </c>
      <c r="C300" s="1851" t="s">
        <v>2890</v>
      </c>
      <c r="D300" s="1851" t="s">
        <v>2891</v>
      </c>
      <c r="E300" s="1851" t="s">
        <v>2892</v>
      </c>
      <c r="F300" s="1851" t="s">
        <v>52</v>
      </c>
      <c r="G300" s="1851" t="s">
        <v>2893</v>
      </c>
      <c r="H300" s="1851" t="s">
        <v>28</v>
      </c>
      <c r="I300" s="1851" t="s">
        <v>925</v>
      </c>
    </row>
    <row customHeight="1" ht="11.25">
      <c r="A301" s="1851" t="s">
        <v>2263</v>
      </c>
      <c r="B301" s="1851" t="s">
        <v>16</v>
      </c>
      <c r="C301" s="1851" t="s">
        <v>2300</v>
      </c>
      <c r="D301" s="1851" t="s">
        <v>2301</v>
      </c>
      <c r="E301" s="1851" t="s">
        <v>2302</v>
      </c>
      <c r="F301" s="1851" t="s">
        <v>2291</v>
      </c>
      <c r="G301" s="1851" t="s">
        <v>28</v>
      </c>
      <c r="H301" s="1851" t="s">
        <v>28</v>
      </c>
      <c r="I301" s="1851" t="s">
        <v>925</v>
      </c>
    </row>
    <row customHeight="1" ht="11.25">
      <c r="A302" s="1851" t="s">
        <v>2263</v>
      </c>
      <c r="B302" s="1851" t="s">
        <v>16</v>
      </c>
      <c r="C302" s="1851" t="s">
        <v>2901</v>
      </c>
      <c r="D302" s="1851" t="s">
        <v>2902</v>
      </c>
      <c r="E302" s="1851" t="s">
        <v>2903</v>
      </c>
      <c r="F302" s="1851" t="s">
        <v>2488</v>
      </c>
      <c r="G302" s="1851" t="s">
        <v>28</v>
      </c>
      <c r="H302" s="1851" t="s">
        <v>28</v>
      </c>
      <c r="I302" s="1851" t="s">
        <v>925</v>
      </c>
    </row>
    <row customHeight="1" ht="11.25">
      <c r="A303" s="1851" t="s">
        <v>2263</v>
      </c>
      <c r="B303" s="1851" t="s">
        <v>16</v>
      </c>
      <c r="C303" s="1851" t="s">
        <v>28</v>
      </c>
      <c r="D303" s="1851" t="s">
        <v>2333</v>
      </c>
      <c r="E303" s="1851" t="s">
        <v>2334</v>
      </c>
      <c r="F303" s="1851" t="s">
        <v>52</v>
      </c>
      <c r="G303" s="1851" t="s">
        <v>28</v>
      </c>
      <c r="H303" s="1851" t="s">
        <v>28</v>
      </c>
      <c r="I303" s="1851" t="s">
        <v>925</v>
      </c>
    </row>
    <row customHeight="1" ht="11.25">
      <c r="A304" s="1851" t="s">
        <v>2263</v>
      </c>
      <c r="B304" s="1851" t="s">
        <v>16</v>
      </c>
      <c r="C304" s="1851" t="s">
        <v>2349</v>
      </c>
      <c r="D304" s="1851" t="s">
        <v>2350</v>
      </c>
      <c r="E304" s="1851" t="s">
        <v>2351</v>
      </c>
      <c r="F304" s="1851" t="s">
        <v>594</v>
      </c>
      <c r="G304" s="1851" t="s">
        <v>28</v>
      </c>
      <c r="H304" s="1851" t="s">
        <v>28</v>
      </c>
      <c r="I304" s="1851" t="s">
        <v>925</v>
      </c>
    </row>
    <row customHeight="1" ht="11.25">
      <c r="A305" s="1851" t="s">
        <v>2263</v>
      </c>
      <c r="B305" s="1851" t="s">
        <v>16</v>
      </c>
      <c r="C305" s="1851" t="s">
        <v>2904</v>
      </c>
      <c r="D305" s="1851" t="s">
        <v>2905</v>
      </c>
      <c r="E305" s="1851" t="s">
        <v>2906</v>
      </c>
      <c r="F305" s="1851" t="s">
        <v>594</v>
      </c>
      <c r="G305" s="1851" t="s">
        <v>28</v>
      </c>
      <c r="H305" s="1851" t="s">
        <v>28</v>
      </c>
      <c r="I305" s="1851" t="s">
        <v>925</v>
      </c>
    </row>
    <row customHeight="1" ht="11.25">
      <c r="A306" s="1851" t="s">
        <v>2263</v>
      </c>
      <c r="B306" s="1851" t="s">
        <v>16</v>
      </c>
      <c r="C306" s="1851" t="s">
        <v>2362</v>
      </c>
      <c r="D306" s="1851" t="s">
        <v>2363</v>
      </c>
      <c r="E306" s="1851" t="s">
        <v>2364</v>
      </c>
      <c r="F306" s="1851" t="s">
        <v>52</v>
      </c>
      <c r="G306" s="1851" t="s">
        <v>2365</v>
      </c>
      <c r="H306" s="1851" t="s">
        <v>28</v>
      </c>
      <c r="I306" s="1851" t="s">
        <v>925</v>
      </c>
    </row>
    <row customHeight="1" ht="11.25">
      <c r="A307" s="1851" t="s">
        <v>2263</v>
      </c>
      <c r="B307" s="1851" t="s">
        <v>16</v>
      </c>
      <c r="C307" s="1851" t="s">
        <v>2366</v>
      </c>
      <c r="D307" s="1851" t="s">
        <v>2367</v>
      </c>
      <c r="E307" s="1851" t="s">
        <v>2364</v>
      </c>
      <c r="F307" s="1851" t="s">
        <v>2368</v>
      </c>
      <c r="G307" s="1851" t="s">
        <v>2369</v>
      </c>
      <c r="H307" s="1851" t="s">
        <v>28</v>
      </c>
      <c r="I307" s="1851" t="s">
        <v>925</v>
      </c>
    </row>
    <row customHeight="1" ht="11.25">
      <c r="A308" s="1851" t="s">
        <v>2263</v>
      </c>
      <c r="B308" s="1851" t="s">
        <v>16</v>
      </c>
      <c r="C308" s="1851" t="s">
        <v>2378</v>
      </c>
      <c r="D308" s="1851" t="s">
        <v>2379</v>
      </c>
      <c r="E308" s="1851" t="s">
        <v>2372</v>
      </c>
      <c r="F308" s="1851" t="s">
        <v>2380</v>
      </c>
      <c r="G308" s="1851" t="s">
        <v>2374</v>
      </c>
      <c r="H308" s="1851" t="s">
        <v>28</v>
      </c>
      <c r="I308" s="1851" t="s">
        <v>925</v>
      </c>
    </row>
    <row customHeight="1" ht="11.25">
      <c r="A309" s="1851" t="s">
        <v>2263</v>
      </c>
      <c r="B309" s="1851" t="s">
        <v>16</v>
      </c>
      <c r="C309" s="1851" t="s">
        <v>2913</v>
      </c>
      <c r="D309" s="1851" t="s">
        <v>2914</v>
      </c>
      <c r="E309" s="1851" t="s">
        <v>2915</v>
      </c>
      <c r="F309" s="1851" t="s">
        <v>2916</v>
      </c>
      <c r="G309" s="1851" t="s">
        <v>2917</v>
      </c>
      <c r="H309" s="1851" t="s">
        <v>28</v>
      </c>
      <c r="I309" s="1851" t="s">
        <v>925</v>
      </c>
    </row>
    <row customHeight="1" ht="11.25">
      <c r="A310" s="1851" t="s">
        <v>2263</v>
      </c>
      <c r="B310" s="1851" t="s">
        <v>16</v>
      </c>
      <c r="C310" s="1851" t="s">
        <v>2918</v>
      </c>
      <c r="D310" s="1851" t="s">
        <v>2919</v>
      </c>
      <c r="E310" s="1851" t="s">
        <v>2920</v>
      </c>
      <c r="F310" s="1851" t="s">
        <v>2389</v>
      </c>
      <c r="G310" s="1851" t="s">
        <v>2921</v>
      </c>
      <c r="H310" s="1851" t="s">
        <v>28</v>
      </c>
      <c r="I310" s="1851" t="s">
        <v>925</v>
      </c>
    </row>
    <row customHeight="1" ht="11.25">
      <c r="A311" s="1851" t="s">
        <v>2263</v>
      </c>
      <c r="B311" s="1851" t="s">
        <v>16</v>
      </c>
      <c r="C311" s="1851" t="s">
        <v>2405</v>
      </c>
      <c r="D311" s="1851" t="s">
        <v>2406</v>
      </c>
      <c r="E311" s="1851" t="s">
        <v>2407</v>
      </c>
      <c r="F311" s="1851" t="s">
        <v>2389</v>
      </c>
      <c r="G311" s="1851" t="s">
        <v>2408</v>
      </c>
      <c r="H311" s="1851" t="s">
        <v>28</v>
      </c>
      <c r="I311" s="1851" t="s">
        <v>925</v>
      </c>
    </row>
    <row customHeight="1" ht="11.25">
      <c r="A312" s="1851" t="s">
        <v>2263</v>
      </c>
      <c r="B312" s="1851" t="s">
        <v>16</v>
      </c>
      <c r="C312" s="1851" t="s">
        <v>2926</v>
      </c>
      <c r="D312" s="1851" t="s">
        <v>2927</v>
      </c>
      <c r="E312" s="1851" t="s">
        <v>2928</v>
      </c>
      <c r="F312" s="1851" t="s">
        <v>2291</v>
      </c>
      <c r="G312" s="1851" t="s">
        <v>2929</v>
      </c>
      <c r="H312" s="1851" t="s">
        <v>28</v>
      </c>
      <c r="I312" s="1851" t="s">
        <v>925</v>
      </c>
    </row>
    <row customHeight="1" ht="11.25">
      <c r="A313" s="1851" t="s">
        <v>2263</v>
      </c>
      <c r="B313" s="1851" t="s">
        <v>16</v>
      </c>
      <c r="C313" s="1851" t="s">
        <v>2934</v>
      </c>
      <c r="D313" s="1851" t="s">
        <v>2935</v>
      </c>
      <c r="E313" s="1851" t="s">
        <v>2936</v>
      </c>
      <c r="F313" s="1851" t="s">
        <v>2309</v>
      </c>
      <c r="G313" s="1851" t="s">
        <v>2937</v>
      </c>
      <c r="H313" s="1851" t="s">
        <v>28</v>
      </c>
      <c r="I313" s="1851" t="s">
        <v>925</v>
      </c>
    </row>
    <row customHeight="1" ht="11.25">
      <c r="A314" s="1851" t="s">
        <v>2263</v>
      </c>
      <c r="B314" s="1851" t="s">
        <v>16</v>
      </c>
      <c r="C314" s="1851" t="s">
        <v>2436</v>
      </c>
      <c r="D314" s="1851" t="s">
        <v>2437</v>
      </c>
      <c r="E314" s="1851" t="s">
        <v>2438</v>
      </c>
      <c r="F314" s="1851" t="s">
        <v>2309</v>
      </c>
      <c r="G314" s="1851" t="s">
        <v>2439</v>
      </c>
      <c r="H314" s="1851" t="s">
        <v>28</v>
      </c>
      <c r="I314" s="1851" t="s">
        <v>925</v>
      </c>
    </row>
    <row customHeight="1" ht="11.25">
      <c r="A315" s="1851" t="s">
        <v>2263</v>
      </c>
      <c r="B315" s="1851" t="s">
        <v>16</v>
      </c>
      <c r="C315" s="1851" t="s">
        <v>2941</v>
      </c>
      <c r="D315" s="1851" t="s">
        <v>2942</v>
      </c>
      <c r="E315" s="1851" t="s">
        <v>2943</v>
      </c>
      <c r="F315" s="1851" t="s">
        <v>2421</v>
      </c>
      <c r="G315" s="1851" t="s">
        <v>2944</v>
      </c>
      <c r="H315" s="1851" t="s">
        <v>28</v>
      </c>
      <c r="I315" s="1851" t="s">
        <v>925</v>
      </c>
    </row>
    <row customHeight="1" ht="11.25">
      <c r="A316" s="1851" t="s">
        <v>2263</v>
      </c>
      <c r="B316" s="1851" t="s">
        <v>16</v>
      </c>
      <c r="C316" s="1851" t="s">
        <v>2463</v>
      </c>
      <c r="D316" s="1851" t="s">
        <v>2464</v>
      </c>
      <c r="E316" s="1851" t="s">
        <v>2465</v>
      </c>
      <c r="F316" s="1851" t="s">
        <v>2466</v>
      </c>
      <c r="G316" s="1851" t="s">
        <v>28</v>
      </c>
      <c r="H316" s="1851" t="s">
        <v>2385</v>
      </c>
      <c r="I316" s="1851" t="s">
        <v>925</v>
      </c>
    </row>
    <row customHeight="1" ht="11.25">
      <c r="A317" s="1851" t="s">
        <v>2263</v>
      </c>
      <c r="B317" s="1851" t="s">
        <v>16</v>
      </c>
      <c r="C317" s="1851" t="s">
        <v>2957</v>
      </c>
      <c r="D317" s="1851" t="s">
        <v>2958</v>
      </c>
      <c r="E317" s="1851" t="s">
        <v>2959</v>
      </c>
      <c r="F317" s="1851" t="s">
        <v>2384</v>
      </c>
      <c r="G317" s="1851" t="s">
        <v>28</v>
      </c>
      <c r="H317" s="1851" t="s">
        <v>28</v>
      </c>
      <c r="I317" s="1851" t="s">
        <v>925</v>
      </c>
    </row>
    <row customHeight="1" ht="11.25">
      <c r="A318" s="1851" t="s">
        <v>2263</v>
      </c>
      <c r="B318" s="1851" t="s">
        <v>16</v>
      </c>
      <c r="C318" s="1851" t="s">
        <v>2477</v>
      </c>
      <c r="D318" s="1851" t="s">
        <v>2478</v>
      </c>
      <c r="E318" s="1851" t="s">
        <v>2479</v>
      </c>
      <c r="F318" s="1851" t="s">
        <v>2466</v>
      </c>
      <c r="G318" s="1851" t="s">
        <v>28</v>
      </c>
      <c r="H318" s="1851" t="s">
        <v>2480</v>
      </c>
      <c r="I318" s="1851" t="s">
        <v>925</v>
      </c>
    </row>
    <row customHeight="1" ht="11.25">
      <c r="A319" s="1851" t="s">
        <v>2263</v>
      </c>
      <c r="B319" s="1851" t="s">
        <v>16</v>
      </c>
      <c r="C319" s="1851" t="s">
        <v>2485</v>
      </c>
      <c r="D319" s="1851" t="s">
        <v>2486</v>
      </c>
      <c r="E319" s="1851" t="s">
        <v>2487</v>
      </c>
      <c r="F319" s="1851" t="s">
        <v>2488</v>
      </c>
      <c r="G319" s="1851" t="s">
        <v>28</v>
      </c>
      <c r="H319" s="1851" t="s">
        <v>2489</v>
      </c>
      <c r="I319" s="1851" t="s">
        <v>925</v>
      </c>
    </row>
    <row customHeight="1" ht="11.25">
      <c r="A320" s="1851" t="s">
        <v>2263</v>
      </c>
      <c r="B320" s="1851" t="s">
        <v>16</v>
      </c>
      <c r="C320" s="1851" t="s">
        <v>2490</v>
      </c>
      <c r="D320" s="1851" t="s">
        <v>2491</v>
      </c>
      <c r="E320" s="1851" t="s">
        <v>2492</v>
      </c>
      <c r="F320" s="1851" t="s">
        <v>2493</v>
      </c>
      <c r="G320" s="1851" t="s">
        <v>2494</v>
      </c>
      <c r="H320" s="1851" t="s">
        <v>2495</v>
      </c>
      <c r="I320" s="1851" t="s">
        <v>925</v>
      </c>
    </row>
    <row customHeight="1" ht="11.25">
      <c r="A321" s="1851" t="s">
        <v>2263</v>
      </c>
      <c r="B321" s="1851" t="s">
        <v>16</v>
      </c>
      <c r="C321" s="1851" t="s">
        <v>2519</v>
      </c>
      <c r="D321" s="1851" t="s">
        <v>2520</v>
      </c>
      <c r="E321" s="1851" t="s">
        <v>2521</v>
      </c>
      <c r="F321" s="1851" t="s">
        <v>2314</v>
      </c>
      <c r="G321" s="1851" t="s">
        <v>2522</v>
      </c>
      <c r="H321" s="1851" t="s">
        <v>28</v>
      </c>
      <c r="I321" s="1851" t="s">
        <v>925</v>
      </c>
    </row>
    <row customHeight="1" ht="11.25">
      <c r="A322" s="1851" t="s">
        <v>2263</v>
      </c>
      <c r="B322" s="1851" t="s">
        <v>16</v>
      </c>
      <c r="C322" s="1851" t="s">
        <v>2523</v>
      </c>
      <c r="D322" s="1851" t="s">
        <v>2524</v>
      </c>
      <c r="E322" s="1851" t="s">
        <v>2525</v>
      </c>
      <c r="F322" s="1851" t="s">
        <v>2314</v>
      </c>
      <c r="G322" s="1851" t="s">
        <v>2526</v>
      </c>
      <c r="H322" s="1851" t="s">
        <v>28</v>
      </c>
      <c r="I322" s="1851" t="s">
        <v>925</v>
      </c>
    </row>
    <row customHeight="1" ht="11.25">
      <c r="A323" s="1851" t="s">
        <v>2263</v>
      </c>
      <c r="B323" s="1851" t="s">
        <v>16</v>
      </c>
      <c r="C323" s="1851" t="s">
        <v>2979</v>
      </c>
      <c r="D323" s="1851" t="s">
        <v>2980</v>
      </c>
      <c r="E323" s="1851" t="s">
        <v>2981</v>
      </c>
      <c r="F323" s="1851" t="s">
        <v>2685</v>
      </c>
      <c r="G323" s="1851" t="s">
        <v>28</v>
      </c>
      <c r="H323" s="1851" t="s">
        <v>28</v>
      </c>
      <c r="I323" s="1851" t="s">
        <v>925</v>
      </c>
    </row>
    <row customHeight="1" ht="11.25">
      <c r="A324" s="1851" t="s">
        <v>2263</v>
      </c>
      <c r="B324" s="1851" t="s">
        <v>16</v>
      </c>
      <c r="C324" s="1851" t="s">
        <v>2982</v>
      </c>
      <c r="D324" s="1851" t="s">
        <v>2983</v>
      </c>
      <c r="E324" s="1851" t="s">
        <v>2984</v>
      </c>
      <c r="F324" s="1851" t="s">
        <v>2314</v>
      </c>
      <c r="G324" s="1851" t="s">
        <v>2985</v>
      </c>
      <c r="H324" s="1851" t="s">
        <v>28</v>
      </c>
      <c r="I324" s="1851" t="s">
        <v>925</v>
      </c>
    </row>
    <row customHeight="1" ht="11.25">
      <c r="A325" s="1851" t="s">
        <v>2263</v>
      </c>
      <c r="B325" s="1851" t="s">
        <v>16</v>
      </c>
      <c r="C325" s="1851" t="s">
        <v>2986</v>
      </c>
      <c r="D325" s="1851" t="s">
        <v>2987</v>
      </c>
      <c r="E325" s="1851" t="s">
        <v>2988</v>
      </c>
      <c r="F325" s="1851" t="s">
        <v>2421</v>
      </c>
      <c r="G325" s="1851" t="s">
        <v>2989</v>
      </c>
      <c r="H325" s="1851" t="s">
        <v>28</v>
      </c>
      <c r="I325" s="1851" t="s">
        <v>925</v>
      </c>
    </row>
    <row customHeight="1" ht="11.25">
      <c r="A326" s="1851" t="s">
        <v>2263</v>
      </c>
      <c r="B326" s="1851" t="s">
        <v>16</v>
      </c>
      <c r="C326" s="1851" t="s">
        <v>2990</v>
      </c>
      <c r="D326" s="1851" t="s">
        <v>2991</v>
      </c>
      <c r="E326" s="1851" t="s">
        <v>2992</v>
      </c>
      <c r="F326" s="1851" t="s">
        <v>2653</v>
      </c>
      <c r="G326" s="1851" t="s">
        <v>28</v>
      </c>
      <c r="H326" s="1851" t="s">
        <v>28</v>
      </c>
      <c r="I326" s="1851" t="s">
        <v>925</v>
      </c>
    </row>
    <row customHeight="1" ht="11.25">
      <c r="A327" s="1851" t="s">
        <v>2263</v>
      </c>
      <c r="B327" s="1851" t="s">
        <v>16</v>
      </c>
      <c r="C327" s="1851" t="s">
        <v>2993</v>
      </c>
      <c r="D327" s="1851" t="s">
        <v>2994</v>
      </c>
      <c r="E327" s="1851" t="s">
        <v>2995</v>
      </c>
      <c r="F327" s="1851" t="s">
        <v>2421</v>
      </c>
      <c r="G327" s="1851" t="s">
        <v>28</v>
      </c>
      <c r="H327" s="1851" t="s">
        <v>28</v>
      </c>
      <c r="I327" s="1851" t="s">
        <v>925</v>
      </c>
    </row>
    <row customHeight="1" ht="11.25">
      <c r="A328" s="1851" t="s">
        <v>2263</v>
      </c>
      <c r="B328" s="1851" t="s">
        <v>16</v>
      </c>
      <c r="C328" s="1851" t="s">
        <v>2996</v>
      </c>
      <c r="D328" s="1851" t="s">
        <v>2997</v>
      </c>
      <c r="E328" s="1851" t="s">
        <v>2998</v>
      </c>
      <c r="F328" s="1851" t="s">
        <v>2389</v>
      </c>
      <c r="G328" s="1851" t="s">
        <v>2999</v>
      </c>
      <c r="H328" s="1851" t="s">
        <v>28</v>
      </c>
      <c r="I328" s="1851" t="s">
        <v>925</v>
      </c>
    </row>
    <row customHeight="1" ht="11.25">
      <c r="A329" s="1851" t="s">
        <v>2263</v>
      </c>
      <c r="B329" s="1851" t="s">
        <v>16</v>
      </c>
      <c r="C329" s="1851" t="s">
        <v>3000</v>
      </c>
      <c r="D329" s="1851" t="s">
        <v>2997</v>
      </c>
      <c r="E329" s="1851" t="s">
        <v>3001</v>
      </c>
      <c r="F329" s="1851" t="s">
        <v>2547</v>
      </c>
      <c r="G329" s="1851" t="s">
        <v>28</v>
      </c>
      <c r="H329" s="1851" t="s">
        <v>28</v>
      </c>
      <c r="I329" s="1851" t="s">
        <v>925</v>
      </c>
    </row>
    <row customHeight="1" ht="11.25">
      <c r="A330" s="1851" t="s">
        <v>2263</v>
      </c>
      <c r="B330" s="1851" t="s">
        <v>16</v>
      </c>
      <c r="C330" s="1851" t="s">
        <v>2553</v>
      </c>
      <c r="D330" s="1851" t="s">
        <v>2554</v>
      </c>
      <c r="E330" s="1851" t="s">
        <v>2555</v>
      </c>
      <c r="F330" s="1851" t="s">
        <v>2466</v>
      </c>
      <c r="G330" s="1851" t="s">
        <v>28</v>
      </c>
      <c r="H330" s="1851" t="s">
        <v>2556</v>
      </c>
      <c r="I330" s="1851" t="s">
        <v>925</v>
      </c>
    </row>
    <row customHeight="1" ht="11.25">
      <c r="A331" s="1851" t="s">
        <v>2263</v>
      </c>
      <c r="B331" s="1851" t="s">
        <v>16</v>
      </c>
      <c r="C331" s="1851" t="s">
        <v>2573</v>
      </c>
      <c r="D331" s="1851" t="s">
        <v>2574</v>
      </c>
      <c r="E331" s="1851" t="s">
        <v>2575</v>
      </c>
      <c r="F331" s="1851" t="s">
        <v>2314</v>
      </c>
      <c r="G331" s="1851" t="s">
        <v>2576</v>
      </c>
      <c r="H331" s="1851" t="s">
        <v>28</v>
      </c>
      <c r="I331" s="1851" t="s">
        <v>925</v>
      </c>
    </row>
    <row customHeight="1" ht="11.25">
      <c r="A332" s="1851" t="s">
        <v>2263</v>
      </c>
      <c r="B332" s="1851" t="s">
        <v>16</v>
      </c>
      <c r="C332" s="1851" t="s">
        <v>2590</v>
      </c>
      <c r="D332" s="1851" t="s">
        <v>2591</v>
      </c>
      <c r="E332" s="1851" t="s">
        <v>2592</v>
      </c>
      <c r="F332" s="1851" t="s">
        <v>2389</v>
      </c>
      <c r="G332" s="1851" t="s">
        <v>2495</v>
      </c>
      <c r="H332" s="1851" t="s">
        <v>28</v>
      </c>
      <c r="I332" s="1851" t="s">
        <v>925</v>
      </c>
    </row>
    <row customHeight="1" ht="11.25">
      <c r="A333" s="1851" t="s">
        <v>2263</v>
      </c>
      <c r="B333" s="1851" t="s">
        <v>16</v>
      </c>
      <c r="C333" s="1851" t="s">
        <v>3024</v>
      </c>
      <c r="D333" s="1851" t="s">
        <v>3025</v>
      </c>
      <c r="E333" s="1851" t="s">
        <v>3026</v>
      </c>
      <c r="F333" s="1851" t="s">
        <v>2403</v>
      </c>
      <c r="G333" s="1851" t="s">
        <v>3027</v>
      </c>
      <c r="H333" s="1851" t="s">
        <v>3028</v>
      </c>
      <c r="I333" s="1851" t="s">
        <v>925</v>
      </c>
    </row>
    <row customHeight="1" ht="11.25">
      <c r="A334" s="1851" t="s">
        <v>2263</v>
      </c>
      <c r="B334" s="1851" t="s">
        <v>16</v>
      </c>
      <c r="C334" s="1851" t="s">
        <v>2623</v>
      </c>
      <c r="D334" s="1851" t="s">
        <v>2624</v>
      </c>
      <c r="E334" s="1851" t="s">
        <v>2625</v>
      </c>
      <c r="F334" s="1851" t="s">
        <v>2389</v>
      </c>
      <c r="G334" s="1851" t="s">
        <v>2626</v>
      </c>
      <c r="H334" s="1851" t="s">
        <v>28</v>
      </c>
      <c r="I334" s="1851" t="s">
        <v>925</v>
      </c>
    </row>
    <row customHeight="1" ht="11.25">
      <c r="A335" s="1851" t="s">
        <v>2263</v>
      </c>
      <c r="B335" s="1851" t="s">
        <v>16</v>
      </c>
      <c r="C335" s="1851" t="s">
        <v>2662</v>
      </c>
      <c r="D335" s="1851" t="s">
        <v>2663</v>
      </c>
      <c r="E335" s="1851" t="s">
        <v>2664</v>
      </c>
      <c r="F335" s="1851" t="s">
        <v>2466</v>
      </c>
      <c r="G335" s="1851" t="s">
        <v>2665</v>
      </c>
      <c r="H335" s="1851" t="s">
        <v>28</v>
      </c>
      <c r="I335" s="1851" t="s">
        <v>925</v>
      </c>
    </row>
    <row customHeight="1" ht="11.25">
      <c r="A336" s="1851" t="s">
        <v>2263</v>
      </c>
      <c r="B336" s="1851" t="s">
        <v>16</v>
      </c>
      <c r="C336" s="1851" t="s">
        <v>2678</v>
      </c>
      <c r="D336" s="1851" t="s">
        <v>2679</v>
      </c>
      <c r="E336" s="1851" t="s">
        <v>2680</v>
      </c>
      <c r="F336" s="1851" t="s">
        <v>2389</v>
      </c>
      <c r="G336" s="1851" t="s">
        <v>2681</v>
      </c>
      <c r="H336" s="1851" t="s">
        <v>28</v>
      </c>
      <c r="I336" s="1851" t="s">
        <v>925</v>
      </c>
    </row>
    <row customHeight="1" ht="11.25">
      <c r="A337" s="1851" t="s">
        <v>2263</v>
      </c>
      <c r="B337" s="1851" t="s">
        <v>16</v>
      </c>
      <c r="C337" s="1851" t="s">
        <v>2705</v>
      </c>
      <c r="D337" s="1851" t="s">
        <v>2706</v>
      </c>
      <c r="E337" s="1851" t="s">
        <v>2707</v>
      </c>
      <c r="F337" s="1851" t="s">
        <v>2466</v>
      </c>
      <c r="G337" s="1851" t="s">
        <v>2661</v>
      </c>
      <c r="H337" s="1851" t="s">
        <v>28</v>
      </c>
      <c r="I337" s="1851" t="s">
        <v>925</v>
      </c>
    </row>
    <row customHeight="1" ht="11.25">
      <c r="A338" s="1851" t="s">
        <v>2263</v>
      </c>
      <c r="B338" s="1851" t="s">
        <v>16</v>
      </c>
      <c r="C338" s="1851" t="s">
        <v>2718</v>
      </c>
      <c r="D338" s="1851" t="s">
        <v>2719</v>
      </c>
      <c r="E338" s="1851" t="s">
        <v>2720</v>
      </c>
      <c r="F338" s="1851" t="s">
        <v>2314</v>
      </c>
      <c r="G338" s="1851" t="s">
        <v>2721</v>
      </c>
      <c r="H338" s="1851" t="s">
        <v>28</v>
      </c>
      <c r="I338" s="1851" t="s">
        <v>925</v>
      </c>
    </row>
    <row customHeight="1" ht="11.25">
      <c r="A339" s="1851" t="s">
        <v>2263</v>
      </c>
      <c r="B339" s="1851" t="s">
        <v>16</v>
      </c>
      <c r="C339" s="1851" t="s">
        <v>3029</v>
      </c>
      <c r="D339" s="1851" t="s">
        <v>3030</v>
      </c>
      <c r="E339" s="1851" t="s">
        <v>3031</v>
      </c>
      <c r="F339" s="1851" t="s">
        <v>52</v>
      </c>
      <c r="G339" s="1851" t="s">
        <v>3032</v>
      </c>
      <c r="H339" s="1851" t="s">
        <v>28</v>
      </c>
      <c r="I339" s="1851" t="s">
        <v>925</v>
      </c>
    </row>
    <row customHeight="1" ht="11.25">
      <c r="A340" s="1851" t="s">
        <v>2263</v>
      </c>
      <c r="B340" s="1851" t="s">
        <v>16</v>
      </c>
      <c r="C340" s="1851" t="s">
        <v>2741</v>
      </c>
      <c r="D340" s="1851" t="s">
        <v>2742</v>
      </c>
      <c r="E340" s="1851" t="s">
        <v>2337</v>
      </c>
      <c r="F340" s="1851" t="s">
        <v>2743</v>
      </c>
      <c r="G340" s="1851" t="s">
        <v>28</v>
      </c>
      <c r="H340" s="1851" t="s">
        <v>28</v>
      </c>
      <c r="I340" s="1851" t="s">
        <v>925</v>
      </c>
    </row>
    <row customHeight="1" ht="11.25">
      <c r="A341" s="1851" t="s">
        <v>2263</v>
      </c>
      <c r="B341" s="1851" t="s">
        <v>16</v>
      </c>
      <c r="C341" s="1851" t="s">
        <v>2752</v>
      </c>
      <c r="D341" s="1851" t="s">
        <v>2753</v>
      </c>
      <c r="E341" s="1851" t="s">
        <v>2754</v>
      </c>
      <c r="F341" s="1851" t="s">
        <v>2314</v>
      </c>
      <c r="G341" s="1851" t="s">
        <v>2755</v>
      </c>
      <c r="H341" s="1851" t="s">
        <v>28</v>
      </c>
      <c r="I341" s="1851" t="s">
        <v>925</v>
      </c>
    </row>
    <row customHeight="1" ht="11.25">
      <c r="A342" s="1851" t="s">
        <v>2263</v>
      </c>
      <c r="B342" s="1851" t="s">
        <v>16</v>
      </c>
      <c r="C342" s="1851" t="s">
        <v>2829</v>
      </c>
      <c r="D342" s="1851" t="s">
        <v>2830</v>
      </c>
      <c r="E342" s="1851" t="s">
        <v>2831</v>
      </c>
      <c r="F342" s="1851" t="s">
        <v>2832</v>
      </c>
      <c r="G342" s="1851" t="s">
        <v>28</v>
      </c>
      <c r="H342" s="1851" t="s">
        <v>28</v>
      </c>
      <c r="I342" s="1851" t="s">
        <v>925</v>
      </c>
    </row>
    <row customHeight="1" ht="11.25">
      <c r="A343" s="1851" t="s">
        <v>2263</v>
      </c>
      <c r="B343" s="1851" t="s">
        <v>16</v>
      </c>
      <c r="C343" s="1851" t="s">
        <v>2836</v>
      </c>
      <c r="D343" s="1851" t="s">
        <v>2837</v>
      </c>
      <c r="E343" s="1851" t="s">
        <v>2838</v>
      </c>
      <c r="F343" s="1851" t="s">
        <v>2839</v>
      </c>
      <c r="G343" s="1851" t="s">
        <v>28</v>
      </c>
      <c r="H343" s="1851" t="s">
        <v>28</v>
      </c>
      <c r="I343" s="1851" t="s">
        <v>925</v>
      </c>
    </row>
    <row customHeight="1" ht="11.25">
      <c r="A344" s="1851" t="s">
        <v>2263</v>
      </c>
      <c r="B344" s="1851" t="s">
        <v>16</v>
      </c>
      <c r="C344" s="1851" t="s">
        <v>2844</v>
      </c>
      <c r="D344" s="1851" t="s">
        <v>2845</v>
      </c>
      <c r="E344" s="1851" t="s">
        <v>2846</v>
      </c>
      <c r="F344" s="1851" t="s">
        <v>2493</v>
      </c>
      <c r="G344" s="1851" t="s">
        <v>2847</v>
      </c>
      <c r="H344" s="1851" t="s">
        <v>28</v>
      </c>
      <c r="I344" s="1851" t="s">
        <v>925</v>
      </c>
    </row>
    <row customHeight="1" ht="11.25">
      <c r="A345" s="1851" t="s">
        <v>2263</v>
      </c>
      <c r="B345" s="1851" t="s">
        <v>16</v>
      </c>
      <c r="C345" s="1851" t="s">
        <v>2848</v>
      </c>
      <c r="D345" s="1851" t="s">
        <v>2849</v>
      </c>
      <c r="E345" s="1851" t="s">
        <v>2850</v>
      </c>
      <c r="F345" s="1851" t="s">
        <v>2314</v>
      </c>
      <c r="G345" s="1851" t="s">
        <v>28</v>
      </c>
      <c r="H345" s="1851" t="s">
        <v>28</v>
      </c>
      <c r="I345" s="1851" t="s">
        <v>925</v>
      </c>
    </row>
    <row customHeight="1" ht="11.25">
      <c r="A346" s="1851" t="s">
        <v>2263</v>
      </c>
      <c r="B346" s="1851" t="s">
        <v>16</v>
      </c>
      <c r="C346" s="1851" t="s">
        <v>2868</v>
      </c>
      <c r="D346" s="1851" t="s">
        <v>2869</v>
      </c>
      <c r="E346" s="1851" t="s">
        <v>2838</v>
      </c>
      <c r="F346" s="1851" t="s">
        <v>2870</v>
      </c>
      <c r="G346" s="1851" t="s">
        <v>28</v>
      </c>
      <c r="H346" s="1851" t="s">
        <v>28</v>
      </c>
      <c r="I346" s="1851" t="s">
        <v>925</v>
      </c>
    </row>
    <row customHeight="1" ht="11.25">
      <c r="A347" s="1851" t="s">
        <v>2263</v>
      </c>
      <c r="B347" s="1851" t="s">
        <v>16</v>
      </c>
      <c r="C347" s="1851" t="s">
        <v>2873</v>
      </c>
      <c r="D347" s="1851" t="s">
        <v>2872</v>
      </c>
      <c r="E347" s="1851" t="s">
        <v>2337</v>
      </c>
      <c r="F347" s="1851" t="s">
        <v>2874</v>
      </c>
      <c r="G347" s="1851" t="s">
        <v>2339</v>
      </c>
      <c r="H347" s="1851" t="s">
        <v>28</v>
      </c>
      <c r="I347" s="1851" t="s">
        <v>925</v>
      </c>
    </row>
    <row customHeight="1" ht="11.25">
      <c r="A348" s="1851" t="s">
        <v>2263</v>
      </c>
      <c r="B348" s="1851" t="s">
        <v>16</v>
      </c>
      <c r="C348" s="1851" t="s">
        <v>2875</v>
      </c>
      <c r="D348" s="1851" t="s">
        <v>2876</v>
      </c>
      <c r="E348" s="1851" t="s">
        <v>2877</v>
      </c>
      <c r="F348" s="1851" t="s">
        <v>2878</v>
      </c>
      <c r="G348" s="1851" t="s">
        <v>2879</v>
      </c>
      <c r="H348" s="1851" t="s">
        <v>28</v>
      </c>
      <c r="I348" s="1851" t="s">
        <v>925</v>
      </c>
    </row>
    <row customHeight="1" ht="11.25">
      <c r="A349" s="1851" t="s">
        <v>2263</v>
      </c>
      <c r="B349" s="1851" t="s">
        <v>16</v>
      </c>
      <c r="C349" s="1851" t="s">
        <v>28</v>
      </c>
      <c r="D349" s="1851" t="s">
        <v>2333</v>
      </c>
      <c r="E349" s="1851" t="s">
        <v>2334</v>
      </c>
      <c r="F349" s="1851" t="s">
        <v>52</v>
      </c>
      <c r="G349" s="1851" t="s">
        <v>28</v>
      </c>
      <c r="H349" s="1851" t="s">
        <v>28</v>
      </c>
      <c r="I349" s="1851" t="s">
        <v>1633</v>
      </c>
    </row>
    <row customHeight="1" ht="11.25">
      <c r="A350" s="1851" t="s">
        <v>2263</v>
      </c>
      <c r="B350" s="1851" t="s">
        <v>16</v>
      </c>
      <c r="C350" s="1851" t="s">
        <v>2904</v>
      </c>
      <c r="D350" s="1851" t="s">
        <v>2905</v>
      </c>
      <c r="E350" s="1851" t="s">
        <v>2906</v>
      </c>
      <c r="F350" s="1851" t="s">
        <v>594</v>
      </c>
      <c r="G350" s="1851" t="s">
        <v>28</v>
      </c>
      <c r="H350" s="1851" t="s">
        <v>28</v>
      </c>
      <c r="I350" s="1851" t="s">
        <v>1633</v>
      </c>
    </row>
    <row customHeight="1" ht="11.25">
      <c r="A351" s="1851" t="s">
        <v>2263</v>
      </c>
      <c r="B351" s="1851" t="s">
        <v>16</v>
      </c>
      <c r="C351" s="1851" t="s">
        <v>3037</v>
      </c>
      <c r="D351" s="1851" t="s">
        <v>3038</v>
      </c>
      <c r="E351" s="1851" t="s">
        <v>3039</v>
      </c>
      <c r="F351" s="1851" t="s">
        <v>2653</v>
      </c>
      <c r="G351" s="1851" t="s">
        <v>28</v>
      </c>
      <c r="H351" s="1851" t="s">
        <v>3040</v>
      </c>
      <c r="I351" s="1851" t="s">
        <v>1633</v>
      </c>
    </row>
    <row customHeight="1" ht="11.25">
      <c r="A352" s="1851" t="s">
        <v>2263</v>
      </c>
      <c r="B352" s="1851" t="s">
        <v>16</v>
      </c>
      <c r="C352" s="1851" t="s">
        <v>2427</v>
      </c>
      <c r="D352" s="1851" t="s">
        <v>2428</v>
      </c>
      <c r="E352" s="1851" t="s">
        <v>2429</v>
      </c>
      <c r="F352" s="1851" t="s">
        <v>2291</v>
      </c>
      <c r="G352" s="1851" t="s">
        <v>2430</v>
      </c>
      <c r="H352" s="1851" t="s">
        <v>2431</v>
      </c>
      <c r="I352" s="1851" t="s">
        <v>1633</v>
      </c>
    </row>
    <row customHeight="1" ht="11.25">
      <c r="A353" s="1851" t="s">
        <v>2263</v>
      </c>
      <c r="B353" s="1851" t="s">
        <v>16</v>
      </c>
      <c r="C353" s="1851" t="s">
        <v>3041</v>
      </c>
      <c r="D353" s="1851" t="s">
        <v>3042</v>
      </c>
      <c r="E353" s="1851" t="s">
        <v>3043</v>
      </c>
      <c r="F353" s="1851" t="s">
        <v>52</v>
      </c>
      <c r="G353" s="1851" t="s">
        <v>3044</v>
      </c>
      <c r="H353" s="1851" t="s">
        <v>3045</v>
      </c>
      <c r="I353" s="1851" t="s">
        <v>1633</v>
      </c>
    </row>
    <row customHeight="1" ht="11.25">
      <c r="A354" s="1851" t="s">
        <v>2263</v>
      </c>
      <c r="B354" s="1851" t="s">
        <v>16</v>
      </c>
      <c r="C354" s="1851" t="s">
        <v>2485</v>
      </c>
      <c r="D354" s="1851" t="s">
        <v>2486</v>
      </c>
      <c r="E354" s="1851" t="s">
        <v>2487</v>
      </c>
      <c r="F354" s="1851" t="s">
        <v>2488</v>
      </c>
      <c r="G354" s="1851" t="s">
        <v>28</v>
      </c>
      <c r="H354" s="1851" t="s">
        <v>2489</v>
      </c>
      <c r="I354" s="1851" t="s">
        <v>1633</v>
      </c>
    </row>
    <row customHeight="1" ht="11.25">
      <c r="A355" s="1851" t="s">
        <v>2263</v>
      </c>
      <c r="B355" s="1851" t="s">
        <v>16</v>
      </c>
      <c r="C355" s="1851" t="s">
        <v>3000</v>
      </c>
      <c r="D355" s="1851" t="s">
        <v>2997</v>
      </c>
      <c r="E355" s="1851" t="s">
        <v>3001</v>
      </c>
      <c r="F355" s="1851" t="s">
        <v>2547</v>
      </c>
      <c r="G355" s="1851" t="s">
        <v>28</v>
      </c>
      <c r="H355" s="1851" t="s">
        <v>28</v>
      </c>
      <c r="I355" s="1851" t="s">
        <v>1633</v>
      </c>
    </row>
    <row customHeight="1" ht="11.25">
      <c r="A356" s="1851" t="s">
        <v>2263</v>
      </c>
      <c r="B356" s="1851" t="s">
        <v>16</v>
      </c>
      <c r="C356" s="1851" t="s">
        <v>3002</v>
      </c>
      <c r="D356" s="1851" t="s">
        <v>3003</v>
      </c>
      <c r="E356" s="1851" t="s">
        <v>3004</v>
      </c>
      <c r="F356" s="1851" t="s">
        <v>2634</v>
      </c>
      <c r="G356" s="1851" t="s">
        <v>28</v>
      </c>
      <c r="H356" s="1851" t="s">
        <v>28</v>
      </c>
      <c r="I356" s="1851" t="s">
        <v>1633</v>
      </c>
    </row>
    <row customHeight="1" ht="11.25">
      <c r="A357" s="1851" t="s">
        <v>2263</v>
      </c>
      <c r="B357" s="1851" t="s">
        <v>16</v>
      </c>
      <c r="C357" s="1851" t="s">
        <v>3046</v>
      </c>
      <c r="D357" s="1851" t="s">
        <v>3047</v>
      </c>
      <c r="E357" s="1851" t="s">
        <v>3048</v>
      </c>
      <c r="F357" s="1851" t="s">
        <v>2309</v>
      </c>
      <c r="G357" s="1851" t="s">
        <v>3049</v>
      </c>
      <c r="H357" s="1851" t="s">
        <v>28</v>
      </c>
      <c r="I357" s="1851" t="s">
        <v>1633</v>
      </c>
    </row>
    <row customHeight="1" ht="11.25">
      <c r="A358" s="1851" t="s">
        <v>2263</v>
      </c>
      <c r="B358" s="1851" t="s">
        <v>16</v>
      </c>
      <c r="C358" s="1851" t="s">
        <v>3050</v>
      </c>
      <c r="D358" s="1851" t="s">
        <v>3051</v>
      </c>
      <c r="E358" s="1851" t="s">
        <v>3052</v>
      </c>
      <c r="F358" s="1851" t="s">
        <v>2827</v>
      </c>
      <c r="G358" s="1851" t="s">
        <v>28</v>
      </c>
      <c r="H358" s="1851" t="s">
        <v>28</v>
      </c>
      <c r="I358" s="1851" t="s">
        <v>1633</v>
      </c>
    </row>
    <row customHeight="1" ht="11.25">
      <c r="A359" s="1851" t="s">
        <v>2263</v>
      </c>
      <c r="B359" s="1851" t="s">
        <v>16</v>
      </c>
      <c r="C359" s="1851" t="s">
        <v>3053</v>
      </c>
      <c r="D359" s="1851" t="s">
        <v>3054</v>
      </c>
      <c r="E359" s="1851" t="s">
        <v>3055</v>
      </c>
      <c r="F359" s="1851" t="s">
        <v>2389</v>
      </c>
      <c r="G359" s="1851" t="s">
        <v>3056</v>
      </c>
      <c r="H359" s="1851" t="s">
        <v>28</v>
      </c>
      <c r="I359" s="1851" t="s">
        <v>1633</v>
      </c>
    </row>
    <row customHeight="1" ht="11.25">
      <c r="A360" s="1851" t="s">
        <v>2263</v>
      </c>
      <c r="B360" s="1851" t="s">
        <v>16</v>
      </c>
      <c r="C360" s="1851" t="s">
        <v>2573</v>
      </c>
      <c r="D360" s="1851" t="s">
        <v>2574</v>
      </c>
      <c r="E360" s="1851" t="s">
        <v>2575</v>
      </c>
      <c r="F360" s="1851" t="s">
        <v>2314</v>
      </c>
      <c r="G360" s="1851" t="s">
        <v>2576</v>
      </c>
      <c r="H360" s="1851" t="s">
        <v>28</v>
      </c>
      <c r="I360" s="1851" t="s">
        <v>1633</v>
      </c>
    </row>
    <row customHeight="1" ht="11.25">
      <c r="A361" s="1851" t="s">
        <v>2263</v>
      </c>
      <c r="B361" s="1851" t="s">
        <v>16</v>
      </c>
      <c r="C361" s="1851" t="s">
        <v>3057</v>
      </c>
      <c r="D361" s="1851" t="s">
        <v>3058</v>
      </c>
      <c r="E361" s="1851" t="s">
        <v>3059</v>
      </c>
      <c r="F361" s="1851" t="s">
        <v>2389</v>
      </c>
      <c r="G361" s="1851" t="s">
        <v>3045</v>
      </c>
      <c r="H361" s="1851" t="s">
        <v>28</v>
      </c>
      <c r="I361" s="1851" t="s">
        <v>1633</v>
      </c>
    </row>
    <row customHeight="1" ht="11.25">
      <c r="A362" s="1851" t="s">
        <v>2263</v>
      </c>
      <c r="B362" s="1851" t="s">
        <v>16</v>
      </c>
      <c r="C362" s="1851" t="s">
        <v>3060</v>
      </c>
      <c r="D362" s="1851" t="s">
        <v>3061</v>
      </c>
      <c r="E362" s="1851" t="s">
        <v>3062</v>
      </c>
      <c r="F362" s="1851" t="s">
        <v>2653</v>
      </c>
      <c r="G362" s="1851" t="s">
        <v>28</v>
      </c>
      <c r="H362" s="1851" t="s">
        <v>28</v>
      </c>
      <c r="I362" s="1851" t="s">
        <v>1633</v>
      </c>
    </row>
    <row customHeight="1" ht="11.25">
      <c r="A363" s="1851" t="s">
        <v>2263</v>
      </c>
      <c r="B363" s="1851" t="s">
        <v>16</v>
      </c>
      <c r="C363" s="1851" t="s">
        <v>3063</v>
      </c>
      <c r="D363" s="1851" t="s">
        <v>3064</v>
      </c>
      <c r="E363" s="1851" t="s">
        <v>3065</v>
      </c>
      <c r="F363" s="1851" t="s">
        <v>52</v>
      </c>
      <c r="G363" s="1851" t="s">
        <v>3066</v>
      </c>
      <c r="H363" s="1851" t="s">
        <v>3067</v>
      </c>
      <c r="I363" s="1851" t="s">
        <v>1633</v>
      </c>
    </row>
    <row customHeight="1" ht="11.25">
      <c r="A364" s="1851" t="s">
        <v>2263</v>
      </c>
      <c r="B364" s="1851" t="s">
        <v>16</v>
      </c>
      <c r="C364" s="1851" t="s">
        <v>3068</v>
      </c>
      <c r="D364" s="1851" t="s">
        <v>3069</v>
      </c>
      <c r="E364" s="1851" t="s">
        <v>3070</v>
      </c>
      <c r="F364" s="1851" t="s">
        <v>52</v>
      </c>
      <c r="G364" s="1851" t="s">
        <v>3071</v>
      </c>
      <c r="H364" s="1851" t="s">
        <v>28</v>
      </c>
      <c r="I364" s="1851" t="s">
        <v>1633</v>
      </c>
    </row>
    <row customHeight="1" ht="11.25">
      <c r="A365" s="1851" t="s">
        <v>2263</v>
      </c>
      <c r="B365" s="1851" t="s">
        <v>16</v>
      </c>
      <c r="C365" s="1851" t="s">
        <v>3072</v>
      </c>
      <c r="D365" s="1851" t="s">
        <v>3073</v>
      </c>
      <c r="E365" s="1851" t="s">
        <v>3074</v>
      </c>
      <c r="F365" s="1851" t="s">
        <v>3075</v>
      </c>
      <c r="G365" s="1851" t="s">
        <v>3076</v>
      </c>
      <c r="H365" s="1851" t="s">
        <v>28</v>
      </c>
      <c r="I365" s="1851" t="s">
        <v>1633</v>
      </c>
    </row>
  </sheetData>
  <sheetProtection formatColumns="0" formatRows="0" sort="0" autoFilter="0" insertRows="0" insertColumns="1" deleteRows="0" deleteColumns="0"/>
  <pageMargins left="0.75" right="0.75" top="1.00" bottom="1.00" header="0.50" footer="0.50"/>
  <pageSetup pageOrder="downThenOver" orientation="portrait"/>
  <headerFooter>
    <oddHeader>&amp;L&amp;C&amp;R</oddHeader>
    <oddFooter>&amp;L&amp;C&amp;R</oddFooter>
    <evenHeader>&amp;L&amp;C&amp;R</evenHeader>
    <evenFooter>&amp;L&amp;C&amp;R</evenFooter>
  </headerFooter>
</worksheet>
</file>

<file path=xl/worksheets/sheet7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79FDE408-7D47-C0A8-6AE8-4D5F1CB438E5}" mc:Ignorable="x14ac xr xr2 xr3">
  <sheetPr>
    <tabColor rgb="FFFFCC99"/>
  </sheetPr>
  <dimension ref="A1:G84"/>
  <sheetViews>
    <sheetView topLeftCell="A1" showGridLines="0" workbookViewId="0">
      <selection activeCell="A1" sqref="A1"/>
    </sheetView>
  </sheetViews>
  <sheetFormatPr customHeight="1" defaultRowHeight="11.25"/>
  <cols>
    <col min="1" max="1" style="1851" width="9.140625"/>
  </cols>
  <sheetData>
    <row customHeight="1" ht="11.25">
      <c r="A1" s="374" t="s">
        <v>3077</v>
      </c>
      <c r="B1" s="65" t="s">
        <v>3078</v>
      </c>
      <c r="C1" s="65" t="s">
        <v>3079</v>
      </c>
      <c r="D1" s="65" t="s">
        <v>3080</v>
      </c>
      <c r="E1" s="61" t="s">
        <v>3081</v>
      </c>
      <c r="F1" s="61" t="s">
        <v>3082</v>
      </c>
      <c r="G1" s="61" t="s">
        <v>3083</v>
      </c>
    </row>
    <row customHeight="1" ht="11.25">
      <c r="A2" s="374" t="s">
        <v>16</v>
      </c>
      <c r="B2" s="0" t="s">
        <v>3084</v>
      </c>
      <c r="C2" s="0" t="s">
        <v>3085</v>
      </c>
      <c r="D2" s="0" t="s">
        <v>3084</v>
      </c>
      <c r="E2" s="0" t="s">
        <v>3085</v>
      </c>
      <c r="F2" s="0" t="s">
        <v>3086</v>
      </c>
      <c r="G2" s="0" t="s">
        <v>118</v>
      </c>
    </row>
    <row customHeight="1" ht="11.25">
      <c r="A3" s="374" t="s">
        <v>16</v>
      </c>
      <c r="B3" s="0" t="s">
        <v>3087</v>
      </c>
      <c r="C3" s="0" t="s">
        <v>3088</v>
      </c>
      <c r="D3" s="0" t="s">
        <v>3087</v>
      </c>
      <c r="E3" s="0" t="s">
        <v>3088</v>
      </c>
      <c r="F3" s="0" t="s">
        <v>3086</v>
      </c>
      <c r="G3" s="0" t="s">
        <v>103</v>
      </c>
    </row>
    <row customHeight="1" ht="11.25">
      <c r="A4" s="374" t="s">
        <v>16</v>
      </c>
      <c r="B4" s="0" t="s">
        <v>3089</v>
      </c>
      <c r="C4" s="0" t="s">
        <v>3090</v>
      </c>
      <c r="D4" s="0" t="s">
        <v>3089</v>
      </c>
      <c r="E4" s="0" t="s">
        <v>3090</v>
      </c>
      <c r="F4" s="0" t="s">
        <v>3086</v>
      </c>
      <c r="G4" s="0" t="s">
        <v>91</v>
      </c>
    </row>
    <row customHeight="1" ht="11.25">
      <c r="A5" s="374" t="s">
        <v>16</v>
      </c>
      <c r="B5" s="0" t="s">
        <v>3091</v>
      </c>
      <c r="C5" s="0" t="s">
        <v>3092</v>
      </c>
      <c r="D5" s="0" t="s">
        <v>3091</v>
      </c>
      <c r="E5" s="0" t="s">
        <v>3092</v>
      </c>
      <c r="F5" s="0" t="s">
        <v>3093</v>
      </c>
      <c r="G5" s="0" t="s">
        <v>92</v>
      </c>
    </row>
    <row customHeight="1" ht="11.25">
      <c r="A6" s="374" t="s">
        <v>16</v>
      </c>
      <c r="B6" s="0" t="s">
        <v>3091</v>
      </c>
      <c r="C6" s="0" t="s">
        <v>3092</v>
      </c>
      <c r="D6" s="0" t="s">
        <v>3094</v>
      </c>
      <c r="E6" s="0" t="s">
        <v>3095</v>
      </c>
      <c r="F6" s="0" t="s">
        <v>3096</v>
      </c>
      <c r="G6" s="0" t="s">
        <v>119</v>
      </c>
    </row>
    <row customHeight="1" ht="11.25">
      <c r="A7" s="374" t="s">
        <v>16</v>
      </c>
      <c r="B7" s="0" t="s">
        <v>3091</v>
      </c>
      <c r="C7" s="0" t="s">
        <v>3092</v>
      </c>
      <c r="D7" s="0" t="s">
        <v>3097</v>
      </c>
      <c r="E7" s="0" t="s">
        <v>3098</v>
      </c>
      <c r="F7" s="0" t="s">
        <v>3096</v>
      </c>
      <c r="G7" s="0" t="s">
        <v>93</v>
      </c>
    </row>
    <row customHeight="1" ht="11.25">
      <c r="A8" s="374" t="s">
        <v>16</v>
      </c>
      <c r="B8" s="0" t="s">
        <v>3091</v>
      </c>
      <c r="C8" s="0" t="s">
        <v>3092</v>
      </c>
      <c r="D8" s="0" t="s">
        <v>3099</v>
      </c>
      <c r="E8" s="0" t="s">
        <v>3100</v>
      </c>
      <c r="F8" s="0" t="s">
        <v>3101</v>
      </c>
      <c r="G8" s="0" t="s">
        <v>94</v>
      </c>
    </row>
    <row customHeight="1" ht="11.25">
      <c r="A9" s="374" t="s">
        <v>16</v>
      </c>
      <c r="B9" s="0" t="s">
        <v>3091</v>
      </c>
      <c r="C9" s="0" t="s">
        <v>3092</v>
      </c>
      <c r="D9" s="0" t="s">
        <v>3102</v>
      </c>
      <c r="E9" s="0" t="s">
        <v>3103</v>
      </c>
      <c r="F9" s="0" t="s">
        <v>3096</v>
      </c>
      <c r="G9" s="0" t="s">
        <v>120</v>
      </c>
    </row>
    <row customHeight="1" ht="11.25">
      <c r="A10" s="374" t="s">
        <v>16</v>
      </c>
      <c r="B10" s="0" t="s">
        <v>3091</v>
      </c>
      <c r="C10" s="0" t="s">
        <v>3092</v>
      </c>
      <c r="D10" s="0" t="s">
        <v>3104</v>
      </c>
      <c r="E10" s="0" t="s">
        <v>3105</v>
      </c>
      <c r="F10" s="0" t="s">
        <v>3096</v>
      </c>
      <c r="G10" s="0" t="s">
        <v>156</v>
      </c>
    </row>
    <row customHeight="1" ht="11.25">
      <c r="A11" s="374" t="s">
        <v>16</v>
      </c>
      <c r="B11" s="0" t="s">
        <v>3106</v>
      </c>
      <c r="C11" s="0" t="s">
        <v>3107</v>
      </c>
      <c r="D11" s="0" t="s">
        <v>3106</v>
      </c>
      <c r="E11" s="0" t="s">
        <v>3107</v>
      </c>
      <c r="F11" s="0" t="s">
        <v>3086</v>
      </c>
      <c r="G11" s="0" t="s">
        <v>157</v>
      </c>
    </row>
    <row customHeight="1" ht="11.25">
      <c r="A12" s="374" t="s">
        <v>16</v>
      </c>
      <c r="B12" s="0" t="s">
        <v>3108</v>
      </c>
      <c r="C12" s="0" t="s">
        <v>3109</v>
      </c>
      <c r="D12" s="0" t="s">
        <v>3110</v>
      </c>
      <c r="E12" s="0" t="s">
        <v>3111</v>
      </c>
      <c r="F12" s="0" t="s">
        <v>3096</v>
      </c>
      <c r="G12" s="0" t="s">
        <v>158</v>
      </c>
    </row>
    <row customHeight="1" ht="11.25">
      <c r="A13" s="374" t="s">
        <v>16</v>
      </c>
      <c r="B13" s="0" t="s">
        <v>3108</v>
      </c>
      <c r="C13" s="0" t="s">
        <v>3109</v>
      </c>
      <c r="D13" s="0" t="s">
        <v>3112</v>
      </c>
      <c r="E13" s="0" t="s">
        <v>3113</v>
      </c>
      <c r="F13" s="0" t="s">
        <v>3096</v>
      </c>
      <c r="G13" s="0" t="s">
        <v>159</v>
      </c>
    </row>
    <row customHeight="1" ht="11.25">
      <c r="A14" s="374" t="s">
        <v>16</v>
      </c>
      <c r="B14" s="0" t="s">
        <v>3108</v>
      </c>
      <c r="C14" s="0" t="s">
        <v>3109</v>
      </c>
      <c r="D14" s="0" t="s">
        <v>3114</v>
      </c>
      <c r="E14" s="0" t="s">
        <v>3115</v>
      </c>
      <c r="F14" s="0" t="s">
        <v>3096</v>
      </c>
      <c r="G14" s="0" t="s">
        <v>160</v>
      </c>
    </row>
    <row customHeight="1" ht="11.25">
      <c r="A15" s="374" t="s">
        <v>16</v>
      </c>
      <c r="B15" s="0" t="s">
        <v>3108</v>
      </c>
      <c r="C15" s="0" t="s">
        <v>3109</v>
      </c>
      <c r="D15" s="0" t="s">
        <v>3116</v>
      </c>
      <c r="E15" s="0" t="s">
        <v>3117</v>
      </c>
      <c r="F15" s="0" t="s">
        <v>3118</v>
      </c>
      <c r="G15" s="0" t="s">
        <v>161</v>
      </c>
    </row>
    <row customHeight="1" ht="11.25">
      <c r="A16" s="374" t="s">
        <v>16</v>
      </c>
      <c r="B16" s="0" t="s">
        <v>3108</v>
      </c>
      <c r="C16" s="0" t="s">
        <v>3109</v>
      </c>
      <c r="D16" s="0" t="s">
        <v>3108</v>
      </c>
      <c r="E16" s="0" t="s">
        <v>3109</v>
      </c>
      <c r="F16" s="0" t="s">
        <v>3093</v>
      </c>
      <c r="G16" s="0" t="s">
        <v>1478</v>
      </c>
    </row>
    <row customHeight="1" ht="11.25">
      <c r="A17" s="374" t="s">
        <v>16</v>
      </c>
      <c r="B17" s="0" t="s">
        <v>3108</v>
      </c>
      <c r="C17" s="0" t="s">
        <v>3109</v>
      </c>
      <c r="D17" s="0" t="s">
        <v>3119</v>
      </c>
      <c r="E17" s="0" t="s">
        <v>3120</v>
      </c>
      <c r="F17" s="0" t="s">
        <v>3096</v>
      </c>
      <c r="G17" s="0" t="s">
        <v>1484</v>
      </c>
    </row>
    <row customHeight="1" ht="11.25">
      <c r="A18" s="374" t="s">
        <v>16</v>
      </c>
      <c r="B18" s="0" t="s">
        <v>3108</v>
      </c>
      <c r="C18" s="0" t="s">
        <v>3109</v>
      </c>
      <c r="D18" s="0" t="s">
        <v>3121</v>
      </c>
      <c r="E18" s="0" t="s">
        <v>3122</v>
      </c>
      <c r="F18" s="0" t="s">
        <v>3096</v>
      </c>
      <c r="G18" s="0" t="s">
        <v>1496</v>
      </c>
    </row>
    <row customHeight="1" ht="11.25">
      <c r="A19" s="374" t="s">
        <v>16</v>
      </c>
      <c r="B19" s="0" t="s">
        <v>3108</v>
      </c>
      <c r="C19" s="0" t="s">
        <v>3109</v>
      </c>
      <c r="D19" s="0" t="s">
        <v>3123</v>
      </c>
      <c r="E19" s="0" t="s">
        <v>3124</v>
      </c>
      <c r="F19" s="0" t="s">
        <v>3096</v>
      </c>
      <c r="G19" s="0" t="s">
        <v>1510</v>
      </c>
    </row>
    <row customHeight="1" ht="11.25">
      <c r="A20" s="374" t="s">
        <v>16</v>
      </c>
      <c r="B20" s="0" t="s">
        <v>3108</v>
      </c>
      <c r="C20" s="0" t="s">
        <v>3109</v>
      </c>
      <c r="D20" s="0" t="s">
        <v>3125</v>
      </c>
      <c r="E20" s="0" t="s">
        <v>3126</v>
      </c>
      <c r="F20" s="0" t="s">
        <v>3096</v>
      </c>
      <c r="G20" s="0" t="s">
        <v>1522</v>
      </c>
    </row>
    <row customHeight="1" ht="11.25">
      <c r="A21" s="374" t="s">
        <v>16</v>
      </c>
      <c r="B21" s="0" t="s">
        <v>3108</v>
      </c>
      <c r="C21" s="0" t="s">
        <v>3109</v>
      </c>
      <c r="D21" s="0" t="s">
        <v>3127</v>
      </c>
      <c r="E21" s="0" t="s">
        <v>3128</v>
      </c>
      <c r="F21" s="0" t="s">
        <v>3096</v>
      </c>
      <c r="G21" s="0" t="s">
        <v>1531</v>
      </c>
    </row>
    <row customHeight="1" ht="11.25">
      <c r="A22" s="374" t="s">
        <v>16</v>
      </c>
      <c r="B22" s="0" t="s">
        <v>3108</v>
      </c>
      <c r="C22" s="0" t="s">
        <v>3109</v>
      </c>
      <c r="D22" s="0" t="s">
        <v>3129</v>
      </c>
      <c r="E22" s="0" t="s">
        <v>3130</v>
      </c>
      <c r="F22" s="0" t="s">
        <v>3096</v>
      </c>
      <c r="G22" s="0" t="s">
        <v>1547</v>
      </c>
    </row>
    <row customHeight="1" ht="11.25">
      <c r="A23" s="374" t="s">
        <v>16</v>
      </c>
      <c r="B23" s="0" t="s">
        <v>3108</v>
      </c>
      <c r="C23" s="0" t="s">
        <v>3109</v>
      </c>
      <c r="D23" s="0" t="s">
        <v>3131</v>
      </c>
      <c r="E23" s="0" t="s">
        <v>3132</v>
      </c>
      <c r="F23" s="0" t="s">
        <v>3096</v>
      </c>
      <c r="G23" s="0" t="s">
        <v>1554</v>
      </c>
    </row>
    <row customHeight="1" ht="11.25">
      <c r="A24" s="374" t="s">
        <v>16</v>
      </c>
      <c r="B24" s="0" t="s">
        <v>3108</v>
      </c>
      <c r="C24" s="0" t="s">
        <v>3109</v>
      </c>
      <c r="D24" s="0" t="s">
        <v>3133</v>
      </c>
      <c r="E24" s="0" t="s">
        <v>3134</v>
      </c>
      <c r="F24" s="0" t="s">
        <v>3096</v>
      </c>
      <c r="G24" s="0" t="s">
        <v>1562</v>
      </c>
    </row>
    <row customHeight="1" ht="11.25">
      <c r="A25" s="374" t="s">
        <v>16</v>
      </c>
      <c r="B25" s="0" t="s">
        <v>3108</v>
      </c>
      <c r="C25" s="0" t="s">
        <v>3109</v>
      </c>
      <c r="D25" s="0" t="s">
        <v>3135</v>
      </c>
      <c r="E25" s="0" t="s">
        <v>3136</v>
      </c>
      <c r="F25" s="0" t="s">
        <v>3096</v>
      </c>
      <c r="G25" s="0" t="s">
        <v>1569</v>
      </c>
    </row>
    <row customHeight="1" ht="11.25">
      <c r="A26" s="374" t="s">
        <v>16</v>
      </c>
      <c r="B26" s="0" t="s">
        <v>3108</v>
      </c>
      <c r="C26" s="0" t="s">
        <v>3109</v>
      </c>
      <c r="D26" s="0" t="s">
        <v>3137</v>
      </c>
      <c r="E26" s="0" t="s">
        <v>3138</v>
      </c>
      <c r="F26" s="0" t="s">
        <v>3096</v>
      </c>
      <c r="G26" s="0" t="s">
        <v>1573</v>
      </c>
    </row>
    <row customHeight="1" ht="11.25">
      <c r="A27" s="374" t="s">
        <v>16</v>
      </c>
      <c r="B27" s="0" t="s">
        <v>3108</v>
      </c>
      <c r="C27" s="0" t="s">
        <v>3109</v>
      </c>
      <c r="D27" s="0" t="s">
        <v>3139</v>
      </c>
      <c r="E27" s="0" t="s">
        <v>3140</v>
      </c>
      <c r="F27" s="0" t="s">
        <v>3096</v>
      </c>
      <c r="G27" s="0" t="s">
        <v>1578</v>
      </c>
    </row>
    <row customHeight="1" ht="11.25">
      <c r="A28" s="374" t="s">
        <v>16</v>
      </c>
      <c r="B28" s="0" t="s">
        <v>3108</v>
      </c>
      <c r="C28" s="0" t="s">
        <v>3109</v>
      </c>
      <c r="D28" s="0" t="s">
        <v>3141</v>
      </c>
      <c r="E28" s="0" t="s">
        <v>3142</v>
      </c>
      <c r="F28" s="0" t="s">
        <v>3096</v>
      </c>
      <c r="G28" s="0" t="s">
        <v>1586</v>
      </c>
    </row>
    <row customHeight="1" ht="11.25">
      <c r="A29" s="374" t="s">
        <v>16</v>
      </c>
      <c r="B29" s="0" t="s">
        <v>3108</v>
      </c>
      <c r="C29" s="0" t="s">
        <v>3109</v>
      </c>
      <c r="D29" s="0" t="s">
        <v>3143</v>
      </c>
      <c r="E29" s="0" t="s">
        <v>3144</v>
      </c>
      <c r="F29" s="0" t="s">
        <v>3096</v>
      </c>
      <c r="G29" s="0" t="s">
        <v>1588</v>
      </c>
    </row>
    <row customHeight="1" ht="11.25">
      <c r="A30" s="374" t="s">
        <v>16</v>
      </c>
      <c r="B30" s="0" t="s">
        <v>3108</v>
      </c>
      <c r="C30" s="0" t="s">
        <v>3109</v>
      </c>
      <c r="D30" s="0" t="s">
        <v>3145</v>
      </c>
      <c r="E30" s="0" t="s">
        <v>3146</v>
      </c>
      <c r="F30" s="0" t="s">
        <v>3096</v>
      </c>
      <c r="G30" s="0" t="s">
        <v>1591</v>
      </c>
    </row>
    <row customHeight="1" ht="11.25">
      <c r="A31" s="374" t="s">
        <v>16</v>
      </c>
      <c r="B31" s="0" t="s">
        <v>3108</v>
      </c>
      <c r="C31" s="0" t="s">
        <v>3109</v>
      </c>
      <c r="D31" s="0" t="s">
        <v>3147</v>
      </c>
      <c r="E31" s="0" t="s">
        <v>3148</v>
      </c>
      <c r="F31" s="0" t="s">
        <v>3096</v>
      </c>
      <c r="G31" s="0" t="s">
        <v>1595</v>
      </c>
    </row>
    <row customHeight="1" ht="11.25">
      <c r="A32" s="374" t="s">
        <v>16</v>
      </c>
      <c r="B32" s="0" t="s">
        <v>3108</v>
      </c>
      <c r="C32" s="0" t="s">
        <v>3109</v>
      </c>
      <c r="D32" s="0" t="s">
        <v>3149</v>
      </c>
      <c r="E32" s="0" t="s">
        <v>3150</v>
      </c>
      <c r="F32" s="0" t="s">
        <v>3096</v>
      </c>
      <c r="G32" s="0" t="s">
        <v>1597</v>
      </c>
    </row>
    <row customHeight="1" ht="11.25">
      <c r="A33" s="374" t="s">
        <v>16</v>
      </c>
      <c r="B33" s="0" t="s">
        <v>3108</v>
      </c>
      <c r="C33" s="0" t="s">
        <v>3109</v>
      </c>
      <c r="D33" s="0" t="s">
        <v>3151</v>
      </c>
      <c r="E33" s="0" t="s">
        <v>3152</v>
      </c>
      <c r="F33" s="0" t="s">
        <v>3096</v>
      </c>
      <c r="G33" s="0" t="s">
        <v>1599</v>
      </c>
    </row>
    <row customHeight="1" ht="11.25">
      <c r="A34" s="374" t="s">
        <v>16</v>
      </c>
      <c r="B34" s="0" t="s">
        <v>3108</v>
      </c>
      <c r="C34" s="0" t="s">
        <v>3109</v>
      </c>
      <c r="D34" s="0" t="s">
        <v>3153</v>
      </c>
      <c r="E34" s="0" t="s">
        <v>3154</v>
      </c>
      <c r="F34" s="0" t="s">
        <v>3096</v>
      </c>
      <c r="G34" s="0" t="s">
        <v>1601</v>
      </c>
    </row>
    <row customHeight="1" ht="11.25">
      <c r="A35" s="374" t="s">
        <v>16</v>
      </c>
      <c r="B35" s="0" t="s">
        <v>3108</v>
      </c>
      <c r="C35" s="0" t="s">
        <v>3109</v>
      </c>
      <c r="D35" s="0" t="s">
        <v>3155</v>
      </c>
      <c r="E35" s="0" t="s">
        <v>3156</v>
      </c>
      <c r="F35" s="0" t="s">
        <v>3096</v>
      </c>
      <c r="G35" s="0" t="s">
        <v>1606</v>
      </c>
    </row>
    <row customHeight="1" ht="11.25">
      <c r="A36" s="374" t="s">
        <v>16</v>
      </c>
      <c r="B36" s="0" t="s">
        <v>3157</v>
      </c>
      <c r="C36" s="0" t="s">
        <v>3158</v>
      </c>
      <c r="D36" s="0" t="s">
        <v>3157</v>
      </c>
      <c r="E36" s="0" t="s">
        <v>3158</v>
      </c>
      <c r="F36" s="0" t="s">
        <v>3086</v>
      </c>
      <c r="G36" s="0" t="s">
        <v>1611</v>
      </c>
    </row>
    <row customHeight="1" ht="11.25">
      <c r="A37" s="374" t="s">
        <v>16</v>
      </c>
      <c r="B37" s="0" t="s">
        <v>3159</v>
      </c>
      <c r="C37" s="0" t="s">
        <v>3160</v>
      </c>
      <c r="D37" s="0" t="s">
        <v>3159</v>
      </c>
      <c r="E37" s="0" t="s">
        <v>3160</v>
      </c>
      <c r="F37" s="0" t="s">
        <v>3086</v>
      </c>
      <c r="G37" s="0" t="s">
        <v>1615</v>
      </c>
    </row>
    <row customHeight="1" ht="11.25">
      <c r="A38" s="374" t="s">
        <v>16</v>
      </c>
      <c r="B38" s="0" t="s">
        <v>3161</v>
      </c>
      <c r="C38" s="0" t="s">
        <v>3162</v>
      </c>
      <c r="D38" s="0" t="s">
        <v>3161</v>
      </c>
      <c r="E38" s="0" t="s">
        <v>3162</v>
      </c>
      <c r="F38" s="0" t="s">
        <v>3086</v>
      </c>
      <c r="G38" s="0" t="s">
        <v>1623</v>
      </c>
    </row>
    <row customHeight="1" ht="11.25">
      <c r="A39" s="374" t="s">
        <v>16</v>
      </c>
      <c r="B39" s="0" t="s">
        <v>3163</v>
      </c>
      <c r="C39" s="0" t="s">
        <v>3164</v>
      </c>
      <c r="D39" s="0" t="s">
        <v>3165</v>
      </c>
      <c r="E39" s="0" t="s">
        <v>3166</v>
      </c>
      <c r="F39" s="0" t="s">
        <v>3096</v>
      </c>
      <c r="G39" s="0" t="s">
        <v>1629</v>
      </c>
    </row>
    <row customHeight="1" ht="11.25">
      <c r="A40" s="374" t="s">
        <v>16</v>
      </c>
      <c r="B40" s="0" t="s">
        <v>3163</v>
      </c>
      <c r="C40" s="0" t="s">
        <v>3164</v>
      </c>
      <c r="D40" s="0" t="s">
        <v>3167</v>
      </c>
      <c r="E40" s="0" t="s">
        <v>3168</v>
      </c>
      <c r="F40" s="0" t="s">
        <v>3096</v>
      </c>
      <c r="G40" s="0" t="s">
        <v>1634</v>
      </c>
    </row>
    <row customHeight="1" ht="11.25">
      <c r="A41" s="374" t="s">
        <v>16</v>
      </c>
      <c r="B41" s="0" t="s">
        <v>3163</v>
      </c>
      <c r="C41" s="0" t="s">
        <v>3164</v>
      </c>
      <c r="D41" s="0" t="s">
        <v>3169</v>
      </c>
      <c r="E41" s="0" t="s">
        <v>3170</v>
      </c>
      <c r="F41" s="0" t="s">
        <v>3096</v>
      </c>
      <c r="G41" s="0" t="s">
        <v>1638</v>
      </c>
    </row>
    <row customHeight="1" ht="11.25">
      <c r="A42" s="374" t="s">
        <v>16</v>
      </c>
      <c r="B42" s="0" t="s">
        <v>3163</v>
      </c>
      <c r="C42" s="0" t="s">
        <v>3164</v>
      </c>
      <c r="D42" s="0" t="s">
        <v>3171</v>
      </c>
      <c r="E42" s="0" t="s">
        <v>3172</v>
      </c>
      <c r="F42" s="0" t="s">
        <v>3096</v>
      </c>
      <c r="G42" s="0" t="s">
        <v>1641</v>
      </c>
    </row>
    <row customHeight="1" ht="11.25">
      <c r="A43" s="374" t="s">
        <v>16</v>
      </c>
      <c r="B43" s="0" t="s">
        <v>3163</v>
      </c>
      <c r="C43" s="0" t="s">
        <v>3164</v>
      </c>
      <c r="D43" s="0" t="s">
        <v>3173</v>
      </c>
      <c r="E43" s="0" t="s">
        <v>3174</v>
      </c>
      <c r="F43" s="0" t="s">
        <v>3096</v>
      </c>
      <c r="G43" s="0" t="s">
        <v>1648</v>
      </c>
    </row>
    <row customHeight="1" ht="11.25">
      <c r="A44" s="374" t="s">
        <v>16</v>
      </c>
      <c r="B44" s="0" t="s">
        <v>3163</v>
      </c>
      <c r="C44" s="0" t="s">
        <v>3164</v>
      </c>
      <c r="D44" s="0" t="s">
        <v>3175</v>
      </c>
      <c r="E44" s="0" t="s">
        <v>3176</v>
      </c>
      <c r="F44" s="0" t="s">
        <v>3118</v>
      </c>
      <c r="G44" s="0" t="s">
        <v>1657</v>
      </c>
    </row>
    <row customHeight="1" ht="11.25">
      <c r="A45" s="374" t="s">
        <v>16</v>
      </c>
      <c r="B45" s="0" t="s">
        <v>3163</v>
      </c>
      <c r="C45" s="0" t="s">
        <v>3164</v>
      </c>
      <c r="D45" s="0" t="s">
        <v>3177</v>
      </c>
      <c r="E45" s="0" t="s">
        <v>3178</v>
      </c>
      <c r="F45" s="0" t="s">
        <v>3096</v>
      </c>
      <c r="G45" s="0" t="s">
        <v>1662</v>
      </c>
    </row>
    <row customHeight="1" ht="11.25">
      <c r="A46" s="374" t="s">
        <v>16</v>
      </c>
      <c r="B46" s="0" t="s">
        <v>3163</v>
      </c>
      <c r="C46" s="0" t="s">
        <v>3164</v>
      </c>
      <c r="D46" s="0" t="s">
        <v>3163</v>
      </c>
      <c r="E46" s="0" t="s">
        <v>3164</v>
      </c>
      <c r="F46" s="0" t="s">
        <v>3093</v>
      </c>
      <c r="G46" s="0" t="s">
        <v>1666</v>
      </c>
    </row>
    <row customHeight="1" ht="11.25">
      <c r="A47" s="374" t="s">
        <v>16</v>
      </c>
      <c r="B47" s="0" t="s">
        <v>3163</v>
      </c>
      <c r="C47" s="0" t="s">
        <v>3164</v>
      </c>
      <c r="D47" s="0" t="s">
        <v>3179</v>
      </c>
      <c r="E47" s="0" t="s">
        <v>3180</v>
      </c>
      <c r="F47" s="0" t="s">
        <v>3096</v>
      </c>
      <c r="G47" s="0" t="s">
        <v>1672</v>
      </c>
    </row>
    <row customHeight="1" ht="11.25">
      <c r="A48" s="374" t="s">
        <v>16</v>
      </c>
      <c r="B48" s="0" t="s">
        <v>3163</v>
      </c>
      <c r="C48" s="0" t="s">
        <v>3164</v>
      </c>
      <c r="D48" s="0" t="s">
        <v>3181</v>
      </c>
      <c r="E48" s="0" t="s">
        <v>3182</v>
      </c>
      <c r="F48" s="0" t="s">
        <v>3096</v>
      </c>
      <c r="G48" s="0" t="s">
        <v>1677</v>
      </c>
    </row>
    <row customHeight="1" ht="11.25">
      <c r="A49" s="374" t="s">
        <v>16</v>
      </c>
      <c r="B49" s="0" t="s">
        <v>3163</v>
      </c>
      <c r="C49" s="0" t="s">
        <v>3164</v>
      </c>
      <c r="D49" s="0" t="s">
        <v>3183</v>
      </c>
      <c r="E49" s="0" t="s">
        <v>3184</v>
      </c>
      <c r="F49" s="0" t="s">
        <v>3096</v>
      </c>
      <c r="G49" s="0" t="s">
        <v>1680</v>
      </c>
    </row>
    <row customHeight="1" ht="11.25">
      <c r="A50" s="374" t="s">
        <v>16</v>
      </c>
      <c r="B50" s="0" t="s">
        <v>3163</v>
      </c>
      <c r="C50" s="0" t="s">
        <v>3164</v>
      </c>
      <c r="D50" s="0" t="s">
        <v>3185</v>
      </c>
      <c r="E50" s="0" t="s">
        <v>3186</v>
      </c>
      <c r="F50" s="0" t="s">
        <v>3096</v>
      </c>
      <c r="G50" s="0" t="s">
        <v>1683</v>
      </c>
    </row>
    <row customHeight="1" ht="11.25">
      <c r="A51" s="374" t="s">
        <v>16</v>
      </c>
      <c r="B51" s="0" t="s">
        <v>3163</v>
      </c>
      <c r="C51" s="0" t="s">
        <v>3164</v>
      </c>
      <c r="D51" s="0" t="s">
        <v>3187</v>
      </c>
      <c r="E51" s="0" t="s">
        <v>3188</v>
      </c>
      <c r="F51" s="0" t="s">
        <v>3096</v>
      </c>
      <c r="G51" s="0" t="s">
        <v>1688</v>
      </c>
    </row>
    <row customHeight="1" ht="11.25">
      <c r="A52" s="374" t="s">
        <v>16</v>
      </c>
      <c r="B52" s="0" t="s">
        <v>3163</v>
      </c>
      <c r="C52" s="0" t="s">
        <v>3164</v>
      </c>
      <c r="D52" s="0" t="s">
        <v>3189</v>
      </c>
      <c r="E52" s="0" t="s">
        <v>3190</v>
      </c>
      <c r="F52" s="0" t="s">
        <v>3096</v>
      </c>
      <c r="G52" s="0" t="s">
        <v>1692</v>
      </c>
    </row>
    <row customHeight="1" ht="11.25">
      <c r="A53" s="374" t="s">
        <v>16</v>
      </c>
      <c r="B53" s="0" t="s">
        <v>3191</v>
      </c>
      <c r="C53" s="0" t="s">
        <v>3192</v>
      </c>
      <c r="D53" s="0" t="s">
        <v>3191</v>
      </c>
      <c r="E53" s="0" t="s">
        <v>3192</v>
      </c>
      <c r="F53" s="0" t="s">
        <v>3086</v>
      </c>
      <c r="G53" s="0" t="s">
        <v>1694</v>
      </c>
    </row>
    <row customHeight="1" ht="11.25">
      <c r="A54" s="374" t="s">
        <v>16</v>
      </c>
      <c r="B54" s="0" t="s">
        <v>3193</v>
      </c>
      <c r="C54" s="0" t="s">
        <v>3194</v>
      </c>
      <c r="D54" s="0" t="s">
        <v>3193</v>
      </c>
      <c r="E54" s="0" t="s">
        <v>3194</v>
      </c>
      <c r="F54" s="0" t="s">
        <v>3086</v>
      </c>
      <c r="G54" s="0" t="s">
        <v>1697</v>
      </c>
    </row>
    <row customHeight="1" ht="11.25">
      <c r="A55" s="374" t="s">
        <v>16</v>
      </c>
      <c r="B55" s="0" t="s">
        <v>3195</v>
      </c>
      <c r="C55" s="0" t="s">
        <v>3196</v>
      </c>
      <c r="D55" s="0" t="s">
        <v>3195</v>
      </c>
      <c r="E55" s="0" t="s">
        <v>3196</v>
      </c>
      <c r="F55" s="0" t="s">
        <v>3086</v>
      </c>
      <c r="G55" s="0" t="s">
        <v>1701</v>
      </c>
    </row>
    <row customHeight="1" ht="11.25">
      <c r="A56" s="374" t="s">
        <v>16</v>
      </c>
      <c r="B56" s="0" t="s">
        <v>3197</v>
      </c>
      <c r="C56" s="0" t="s">
        <v>3198</v>
      </c>
      <c r="D56" s="0" t="s">
        <v>3197</v>
      </c>
      <c r="E56" s="0" t="s">
        <v>3198</v>
      </c>
      <c r="F56" s="0" t="s">
        <v>3086</v>
      </c>
      <c r="G56" s="0" t="s">
        <v>1704</v>
      </c>
    </row>
    <row customHeight="1" ht="11.25">
      <c r="A57" s="374" t="s">
        <v>16</v>
      </c>
      <c r="B57" s="0" t="s">
        <v>3199</v>
      </c>
      <c r="C57" s="0" t="s">
        <v>3200</v>
      </c>
      <c r="D57" s="0" t="s">
        <v>3199</v>
      </c>
      <c r="E57" s="0" t="s">
        <v>3200</v>
      </c>
      <c r="F57" s="0" t="s">
        <v>3086</v>
      </c>
      <c r="G57" s="0" t="s">
        <v>1707</v>
      </c>
    </row>
    <row customHeight="1" ht="11.25">
      <c r="A58" s="374" t="s">
        <v>16</v>
      </c>
      <c r="B58" s="0" t="s">
        <v>3201</v>
      </c>
      <c r="C58" s="0" t="s">
        <v>3202</v>
      </c>
      <c r="D58" s="0" t="s">
        <v>3201</v>
      </c>
      <c r="E58" s="0" t="s">
        <v>3202</v>
      </c>
      <c r="F58" s="0" t="s">
        <v>3086</v>
      </c>
      <c r="G58" s="0" t="s">
        <v>1710</v>
      </c>
    </row>
    <row customHeight="1" ht="11.25">
      <c r="A59" s="374" t="s">
        <v>16</v>
      </c>
      <c r="B59" s="0" t="s">
        <v>3203</v>
      </c>
      <c r="C59" s="0" t="s">
        <v>3204</v>
      </c>
      <c r="D59" s="0" t="s">
        <v>3203</v>
      </c>
      <c r="E59" s="0" t="s">
        <v>3204</v>
      </c>
      <c r="F59" s="0" t="s">
        <v>3086</v>
      </c>
      <c r="G59" s="0" t="s">
        <v>1714</v>
      </c>
    </row>
    <row customHeight="1" ht="11.25">
      <c r="A60" s="374" t="s">
        <v>16</v>
      </c>
      <c r="B60" s="0" t="s">
        <v>3205</v>
      </c>
      <c r="C60" s="0" t="s">
        <v>3206</v>
      </c>
      <c r="D60" s="0" t="s">
        <v>3205</v>
      </c>
      <c r="E60" s="0" t="s">
        <v>3206</v>
      </c>
      <c r="F60" s="0" t="s">
        <v>3086</v>
      </c>
      <c r="G60" s="0" t="s">
        <v>1718</v>
      </c>
    </row>
    <row customHeight="1" ht="11.25">
      <c r="A61" s="374" t="s">
        <v>16</v>
      </c>
      <c r="B61" s="0" t="s">
        <v>3207</v>
      </c>
      <c r="C61" s="0" t="s">
        <v>3208</v>
      </c>
      <c r="D61" s="0" t="s">
        <v>3207</v>
      </c>
      <c r="E61" s="0" t="s">
        <v>3208</v>
      </c>
      <c r="F61" s="0" t="s">
        <v>3086</v>
      </c>
      <c r="G61" s="0" t="s">
        <v>3209</v>
      </c>
    </row>
    <row customHeight="1" ht="11.25">
      <c r="A62" s="374" t="s">
        <v>16</v>
      </c>
      <c r="B62" s="0" t="s">
        <v>3210</v>
      </c>
      <c r="C62" s="0" t="s">
        <v>3211</v>
      </c>
      <c r="D62" s="0" t="s">
        <v>3212</v>
      </c>
      <c r="E62" s="0" t="s">
        <v>3213</v>
      </c>
      <c r="F62" s="0" t="s">
        <v>3096</v>
      </c>
      <c r="G62" s="0" t="s">
        <v>3214</v>
      </c>
    </row>
    <row customHeight="1" ht="11.25">
      <c r="A63" s="374" t="s">
        <v>16</v>
      </c>
      <c r="B63" s="0" t="s">
        <v>3210</v>
      </c>
      <c r="C63" s="0" t="s">
        <v>3211</v>
      </c>
      <c r="D63" s="0" t="s">
        <v>3215</v>
      </c>
      <c r="E63" s="0" t="s">
        <v>3216</v>
      </c>
      <c r="F63" s="0" t="s">
        <v>3096</v>
      </c>
      <c r="G63" s="0" t="s">
        <v>3217</v>
      </c>
    </row>
    <row customHeight="1" ht="11.25">
      <c r="A64" s="374" t="s">
        <v>16</v>
      </c>
      <c r="B64" s="0" t="s">
        <v>3210</v>
      </c>
      <c r="C64" s="0" t="s">
        <v>3211</v>
      </c>
      <c r="D64" s="0" t="s">
        <v>3218</v>
      </c>
      <c r="E64" s="0" t="s">
        <v>3219</v>
      </c>
      <c r="F64" s="0" t="s">
        <v>3096</v>
      </c>
      <c r="G64" s="0" t="s">
        <v>3220</v>
      </c>
    </row>
    <row customHeight="1" ht="11.25">
      <c r="A65" s="374" t="s">
        <v>16</v>
      </c>
      <c r="B65" s="0" t="s">
        <v>3210</v>
      </c>
      <c r="C65" s="0" t="s">
        <v>3211</v>
      </c>
      <c r="D65" s="0" t="s">
        <v>3221</v>
      </c>
      <c r="E65" s="0" t="s">
        <v>3222</v>
      </c>
      <c r="F65" s="0" t="s">
        <v>3096</v>
      </c>
      <c r="G65" s="0" t="s">
        <v>3223</v>
      </c>
    </row>
    <row customHeight="1" ht="11.25">
      <c r="A66" s="374" t="s">
        <v>16</v>
      </c>
      <c r="B66" s="0" t="s">
        <v>3210</v>
      </c>
      <c r="C66" s="0" t="s">
        <v>3211</v>
      </c>
      <c r="D66" s="0" t="s">
        <v>3224</v>
      </c>
      <c r="E66" s="0" t="s">
        <v>3225</v>
      </c>
      <c r="F66" s="0" t="s">
        <v>3096</v>
      </c>
      <c r="G66" s="0" t="s">
        <v>3226</v>
      </c>
    </row>
    <row customHeight="1" ht="11.25">
      <c r="A67" s="374" t="s">
        <v>16</v>
      </c>
      <c r="B67" s="0" t="s">
        <v>3210</v>
      </c>
      <c r="C67" s="0" t="s">
        <v>3211</v>
      </c>
      <c r="D67" s="0" t="s">
        <v>3227</v>
      </c>
      <c r="E67" s="0" t="s">
        <v>3228</v>
      </c>
      <c r="F67" s="0" t="s">
        <v>3096</v>
      </c>
      <c r="G67" s="0" t="s">
        <v>2037</v>
      </c>
    </row>
    <row customHeight="1" ht="11.25">
      <c r="A68" s="374" t="s">
        <v>16</v>
      </c>
      <c r="B68" s="0" t="s">
        <v>3210</v>
      </c>
      <c r="C68" s="0" t="s">
        <v>3211</v>
      </c>
      <c r="D68" s="0" t="s">
        <v>3229</v>
      </c>
      <c r="E68" s="0" t="s">
        <v>3230</v>
      </c>
      <c r="F68" s="0" t="s">
        <v>3096</v>
      </c>
      <c r="G68" s="0" t="s">
        <v>3231</v>
      </c>
    </row>
    <row customHeight="1" ht="11.25">
      <c r="A69" s="374" t="s">
        <v>16</v>
      </c>
      <c r="B69" s="0" t="s">
        <v>3210</v>
      </c>
      <c r="C69" s="0" t="s">
        <v>3211</v>
      </c>
      <c r="D69" s="0" t="s">
        <v>3232</v>
      </c>
      <c r="E69" s="0" t="s">
        <v>3233</v>
      </c>
      <c r="F69" s="0" t="s">
        <v>3096</v>
      </c>
      <c r="G69" s="0" t="s">
        <v>2240</v>
      </c>
    </row>
    <row customHeight="1" ht="11.25">
      <c r="A70" s="374" t="s">
        <v>16</v>
      </c>
      <c r="B70" s="0" t="s">
        <v>3210</v>
      </c>
      <c r="C70" s="0" t="s">
        <v>3211</v>
      </c>
      <c r="D70" s="0" t="s">
        <v>3234</v>
      </c>
      <c r="E70" s="0" t="s">
        <v>3235</v>
      </c>
      <c r="F70" s="0" t="s">
        <v>3096</v>
      </c>
      <c r="G70" s="0" t="s">
        <v>3236</v>
      </c>
    </row>
    <row customHeight="1" ht="11.25">
      <c r="A71" s="374" t="s">
        <v>16</v>
      </c>
      <c r="B71" s="0" t="s">
        <v>3210</v>
      </c>
      <c r="C71" s="0" t="s">
        <v>3211</v>
      </c>
      <c r="D71" s="0" t="s">
        <v>3210</v>
      </c>
      <c r="E71" s="0" t="s">
        <v>3211</v>
      </c>
      <c r="F71" s="0" t="s">
        <v>3093</v>
      </c>
      <c r="G71" s="0" t="s">
        <v>3237</v>
      </c>
    </row>
    <row customHeight="1" ht="11.25">
      <c r="A72" s="374" t="s">
        <v>16</v>
      </c>
      <c r="B72" s="0" t="s">
        <v>3210</v>
      </c>
      <c r="C72" s="0" t="s">
        <v>3211</v>
      </c>
      <c r="D72" s="0" t="s">
        <v>3238</v>
      </c>
      <c r="E72" s="0" t="s">
        <v>3239</v>
      </c>
      <c r="F72" s="0" t="s">
        <v>3096</v>
      </c>
      <c r="G72" s="0" t="s">
        <v>3240</v>
      </c>
    </row>
    <row customHeight="1" ht="11.25">
      <c r="A73" s="374" t="s">
        <v>16</v>
      </c>
      <c r="B73" s="0" t="s">
        <v>3210</v>
      </c>
      <c r="C73" s="0" t="s">
        <v>3211</v>
      </c>
      <c r="D73" s="0" t="s">
        <v>3241</v>
      </c>
      <c r="E73" s="0" t="s">
        <v>3242</v>
      </c>
      <c r="F73" s="0" t="s">
        <v>3096</v>
      </c>
      <c r="G73" s="0" t="s">
        <v>3243</v>
      </c>
    </row>
    <row customHeight="1" ht="11.25">
      <c r="A74" s="374" t="s">
        <v>16</v>
      </c>
      <c r="B74" s="0" t="s">
        <v>3210</v>
      </c>
      <c r="C74" s="0" t="s">
        <v>3211</v>
      </c>
      <c r="D74" s="0" t="s">
        <v>3244</v>
      </c>
      <c r="E74" s="0" t="s">
        <v>3245</v>
      </c>
      <c r="F74" s="0" t="s">
        <v>3096</v>
      </c>
      <c r="G74" s="0" t="s">
        <v>3246</v>
      </c>
    </row>
    <row customHeight="1" ht="11.25">
      <c r="A75" s="374" t="s">
        <v>16</v>
      </c>
      <c r="B75" s="0" t="s">
        <v>3247</v>
      </c>
      <c r="C75" s="0" t="s">
        <v>3248</v>
      </c>
      <c r="D75" s="0" t="s">
        <v>3247</v>
      </c>
      <c r="E75" s="0" t="s">
        <v>3248</v>
      </c>
      <c r="F75" s="0" t="s">
        <v>3086</v>
      </c>
      <c r="G75" s="0" t="s">
        <v>3249</v>
      </c>
    </row>
    <row customHeight="1" ht="11.25">
      <c r="A76" s="374" t="s">
        <v>16</v>
      </c>
      <c r="B76" s="0" t="s">
        <v>3250</v>
      </c>
      <c r="C76" s="0" t="s">
        <v>3251</v>
      </c>
      <c r="D76" s="0" t="s">
        <v>3250</v>
      </c>
      <c r="E76" s="0" t="s">
        <v>3251</v>
      </c>
      <c r="F76" s="0" t="s">
        <v>3086</v>
      </c>
      <c r="G76" s="0" t="s">
        <v>3252</v>
      </c>
    </row>
    <row customHeight="1" ht="11.25">
      <c r="A77" s="374" t="s">
        <v>16</v>
      </c>
      <c r="B77" s="0" t="s">
        <v>3253</v>
      </c>
      <c r="C77" s="0" t="s">
        <v>3254</v>
      </c>
      <c r="D77" s="0" t="s">
        <v>3253</v>
      </c>
      <c r="E77" s="0" t="s">
        <v>3254</v>
      </c>
      <c r="F77" s="0" t="s">
        <v>3086</v>
      </c>
      <c r="G77" s="0" t="s">
        <v>3255</v>
      </c>
    </row>
    <row customHeight="1" ht="11.25">
      <c r="A78" s="374" t="s">
        <v>16</v>
      </c>
      <c r="B78" s="0" t="s">
        <v>109</v>
      </c>
      <c r="C78" s="0" t="s">
        <v>110</v>
      </c>
      <c r="D78" s="0" t="s">
        <v>109</v>
      </c>
      <c r="E78" s="0" t="s">
        <v>110</v>
      </c>
      <c r="F78" s="0" t="s">
        <v>3086</v>
      </c>
      <c r="G78" s="0" t="s">
        <v>108</v>
      </c>
    </row>
    <row customHeight="1" ht="11.25">
      <c r="A79" s="374" t="s">
        <v>16</v>
      </c>
      <c r="B79" s="0" t="s">
        <v>3256</v>
      </c>
      <c r="C79" s="0" t="s">
        <v>3257</v>
      </c>
      <c r="D79" s="0" t="s">
        <v>3256</v>
      </c>
      <c r="E79" s="0" t="s">
        <v>3257</v>
      </c>
      <c r="F79" s="0" t="s">
        <v>3086</v>
      </c>
      <c r="G79" s="0" t="s">
        <v>3258</v>
      </c>
    </row>
    <row customHeight="1" ht="11.25">
      <c r="A80" s="374" t="s">
        <v>16</v>
      </c>
      <c r="B80" s="0" t="s">
        <v>3259</v>
      </c>
      <c r="C80" s="0" t="s">
        <v>3260</v>
      </c>
      <c r="D80" s="0" t="s">
        <v>3259</v>
      </c>
      <c r="E80" s="0" t="s">
        <v>3260</v>
      </c>
      <c r="F80" s="0" t="s">
        <v>3086</v>
      </c>
      <c r="G80" s="0" t="s">
        <v>3261</v>
      </c>
    </row>
    <row customHeight="1" ht="11.25">
      <c r="A81" s="374" t="s">
        <v>16</v>
      </c>
      <c r="B81" s="0" t="s">
        <v>3262</v>
      </c>
      <c r="C81" s="0" t="s">
        <v>3263</v>
      </c>
      <c r="D81" s="0" t="s">
        <v>3262</v>
      </c>
      <c r="E81" s="0" t="s">
        <v>3263</v>
      </c>
      <c r="F81" s="0" t="s">
        <v>3086</v>
      </c>
      <c r="G81" s="0" t="s">
        <v>3264</v>
      </c>
    </row>
    <row customHeight="1" ht="11.25">
      <c r="A82" s="374" t="s">
        <v>16</v>
      </c>
      <c r="B82" s="0" t="s">
        <v>3265</v>
      </c>
      <c r="C82" s="0" t="s">
        <v>3266</v>
      </c>
      <c r="D82" s="0" t="s">
        <v>3265</v>
      </c>
      <c r="E82" s="0" t="s">
        <v>3266</v>
      </c>
      <c r="F82" s="0" t="s">
        <v>3086</v>
      </c>
      <c r="G82" s="0" t="s">
        <v>3267</v>
      </c>
    </row>
    <row customHeight="1" ht="11.25">
      <c r="A83" s="374" t="s">
        <v>16</v>
      </c>
      <c r="B83" s="0" t="s">
        <v>101</v>
      </c>
      <c r="C83" s="0" t="s">
        <v>102</v>
      </c>
      <c r="D83" s="0" t="s">
        <v>101</v>
      </c>
      <c r="E83" s="0" t="s">
        <v>102</v>
      </c>
      <c r="F83" s="0" t="s">
        <v>3268</v>
      </c>
      <c r="G83" s="0" t="s">
        <v>100</v>
      </c>
    </row>
    <row customHeight="1" ht="11.25">
      <c r="A84" s="374" t="s">
        <v>16</v>
      </c>
      <c r="B84" s="0" t="s">
        <v>106</v>
      </c>
      <c r="C84" s="0" t="s">
        <v>107</v>
      </c>
      <c r="D84" s="0" t="s">
        <v>106</v>
      </c>
      <c r="E84" s="0" t="s">
        <v>107</v>
      </c>
      <c r="F84" s="0" t="s">
        <v>3268</v>
      </c>
      <c r="G84" s="0" t="s">
        <v>105</v>
      </c>
    </row>
  </sheetData>
  <sheetProtection sort="0" autoFilter="0" insertRows="0" insertColumns="1" deleteRows="0" deleteColumns="0"/>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7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270F99B8-3098-FEC9-F3A8-C140A2EF2138}" mc:Ignorable="x14ac xr xr2 xr3">
  <sheetPr>
    <tabColor rgb="FFFFCC99"/>
  </sheetPr>
  <dimension ref="A1:I5"/>
  <sheetViews>
    <sheetView topLeftCell="A1" showGridLines="0" workbookViewId="0">
      <selection activeCell="A1" sqref="A1"/>
    </sheetView>
  </sheetViews>
  <sheetFormatPr defaultColWidth="9.140625" customHeight="1" defaultRowHeight="11.25"/>
  <cols>
    <col min="1" max="1" style="1692" width="13.8515625" customWidth="1"/>
    <col min="2" max="2" style="1692" width="10.421875" customWidth="1"/>
    <col min="3" max="3" style="1692" width="7.57421875" customWidth="1"/>
    <col min="4" max="4" style="1692" width="13.8515625" customWidth="1"/>
    <col min="5" max="5" style="1692" width="11.57421875" customWidth="1"/>
    <col min="6" max="6" style="1692" width="16.28125" customWidth="1"/>
    <col min="7" max="7" style="1692" width="16.00390625" customWidth="1"/>
    <col min="8" max="9" style="1692" width="16.140625" customWidth="1"/>
  </cols>
  <sheetData>
    <row customHeight="1" ht="11.25">
      <c r="A1" s="836" t="s">
        <v>3269</v>
      </c>
      <c r="B1" s="836" t="s">
        <v>3270</v>
      </c>
      <c r="C1" s="1160" t="s">
        <v>3271</v>
      </c>
      <c r="D1" s="836" t="s">
        <v>3272</v>
      </c>
      <c r="E1" s="836" t="s">
        <v>3273</v>
      </c>
      <c r="F1" s="1160" t="s">
        <v>3274</v>
      </c>
      <c r="G1" s="1160" t="s">
        <v>3275</v>
      </c>
      <c r="H1" s="1160" t="s">
        <v>3276</v>
      </c>
      <c r="I1" s="1160" t="s">
        <v>3277</v>
      </c>
    </row>
    <row customHeight="1" ht="11.25">
      <c r="A2" s="1692" t="s">
        <v>118</v>
      </c>
      <c r="B2" s="1692" t="s">
        <v>3278</v>
      </c>
      <c r="C2" s="1692" t="s">
        <v>28</v>
      </c>
      <c r="D2" s="1692" t="s">
        <v>3279</v>
      </c>
      <c r="E2" s="1692" t="s">
        <v>3280</v>
      </c>
      <c r="F2" s="1692" t="s">
        <v>28</v>
      </c>
      <c r="G2" s="1692" t="s">
        <v>28</v>
      </c>
      <c r="H2" s="1692" t="s">
        <v>28</v>
      </c>
      <c r="I2" s="1692" t="s">
        <v>28</v>
      </c>
    </row>
    <row customHeight="1" ht="11.25">
      <c r="A3" s="1692" t="s">
        <v>103</v>
      </c>
      <c r="B3" s="1692" t="s">
        <v>3281</v>
      </c>
      <c r="C3" s="1692" t="s">
        <v>28</v>
      </c>
      <c r="D3" s="1692" t="s">
        <v>3282</v>
      </c>
      <c r="E3" s="1692" t="s">
        <v>3283</v>
      </c>
      <c r="F3" s="1692" t="s">
        <v>28</v>
      </c>
      <c r="G3" s="1692" t="s">
        <v>28</v>
      </c>
      <c r="H3" s="1692" t="s">
        <v>28</v>
      </c>
      <c r="I3" s="1692" t="s">
        <v>28</v>
      </c>
    </row>
    <row customHeight="1" ht="11.25">
      <c r="A4" s="1692" t="s">
        <v>91</v>
      </c>
      <c r="B4" s="1692" t="s">
        <v>3284</v>
      </c>
      <c r="C4" s="1692" t="s">
        <v>28</v>
      </c>
      <c r="D4" s="1692" t="s">
        <v>3279</v>
      </c>
      <c r="E4" s="1692" t="s">
        <v>3285</v>
      </c>
      <c r="F4" s="1692" t="s">
        <v>28</v>
      </c>
      <c r="G4" s="1692" t="s">
        <v>28</v>
      </c>
      <c r="H4" s="1692" t="s">
        <v>28</v>
      </c>
      <c r="I4" s="1692" t="s">
        <v>28</v>
      </c>
    </row>
    <row customHeight="1" ht="11.25">
      <c r="A5" s="1692" t="s">
        <v>92</v>
      </c>
      <c r="B5" s="1692" t="s">
        <v>3286</v>
      </c>
      <c r="C5" s="1692" t="s">
        <v>28</v>
      </c>
      <c r="D5" s="1692" t="s">
        <v>3279</v>
      </c>
      <c r="E5" s="1692" t="s">
        <v>3285</v>
      </c>
      <c r="F5" s="1692" t="s">
        <v>28</v>
      </c>
      <c r="G5" s="1692" t="s">
        <v>28</v>
      </c>
      <c r="H5" s="1692" t="s">
        <v>28</v>
      </c>
      <c r="I5" s="1692" t="s">
        <v>28</v>
      </c>
    </row>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7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D8A229DD-3C48-D2E8-1BD4-40D8541B489D}" mc:Ignorable="x14ac xr xr2 xr3">
  <sheetPr>
    <tabColor rgb="FFFFCC99"/>
  </sheetPr>
  <dimension ref="A1:A1"/>
  <sheetViews>
    <sheetView topLeftCell="A1" workbookViewId="0">
      <selection activeCell="A1" sqref="A1"/>
    </sheetView>
  </sheetViews>
  <sheetFormatPr customHeight="1" defaultRowHeight="11.25"/>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0824B648-2248-3F3E-A688-9A17AD5F92DF}" mc:Ignorable="x14ac xr xr2 xr3">
  <sheetPr>
    <tabColor theme="3" tint="0.6"/>
  </sheetPr>
  <dimension ref="A1:AT18"/>
  <sheetViews>
    <sheetView showGridLines="0" zoomScale="90" workbookViewId="0">
      <pane xSplit="5" ySplit="11" topLeftCell="F12" activePane="bottomRight" state="frozen"/>
      <selection pane="bottomLeft" activeCell="A12" sqref="A12"/>
      <selection pane="topRight" activeCell="F1" sqref="F1"/>
      <selection pane="bottomRight" activeCell="A1" sqref="A1"/>
    </sheetView>
  </sheetViews>
  <sheetFormatPr defaultColWidth="10.57421875" customHeight="1" defaultRowHeight="14.25"/>
  <cols>
    <col min="1" max="1" style="1633" width="9.140625" hidden="1" customWidth="1"/>
    <col min="2" max="2" style="1636" width="9.140625" hidden="1" customWidth="1"/>
    <col min="3" max="3" style="1843" width="3.00390625" customWidth="1"/>
    <col min="4" max="4" style="1636" width="5.00390625" customWidth="1"/>
    <col min="5" max="5" style="1636" width="48.00390625" customWidth="1"/>
    <col min="6" max="6" style="1636" width="38.00390625" customWidth="1"/>
    <col min="7" max="7" style="1636" width="1.7109375" hidden="1" customWidth="1"/>
    <col min="8" max="11" style="1636" width="19.8515625" customWidth="1"/>
    <col min="12" max="12" style="1636" width="9.7109375" customWidth="1"/>
    <col min="13" max="18" style="1636" width="19.8515625" customWidth="1"/>
    <col min="19" max="19" style="1636" width="1.7109375" hidden="1" customWidth="1"/>
    <col min="20" max="22" style="1636" width="19.8515625" hidden="1" customWidth="1"/>
    <col min="23" max="23" style="1636" width="1.7109375" hidden="1" customWidth="1"/>
    <col min="24" max="26" style="1636" width="19.8515625" hidden="1" customWidth="1"/>
    <col min="27" max="27" style="1636" width="1.7109375" hidden="1" customWidth="1"/>
    <col min="28" max="29" style="1636" width="19.8515625" hidden="1" customWidth="1"/>
    <col min="30" max="30" style="1636" width="1.7109375" hidden="1" customWidth="1"/>
    <col min="31" max="31" style="1636" width="103.7109375" customWidth="1"/>
    <col min="32" max="34" style="1636" width="103.7109375" hidden="1" customWidth="1"/>
    <col min="35" max="35" style="1820" width="3.00390625" customWidth="1"/>
    <col min="36" max="38" style="1643" width="10.00390625" customWidth="1"/>
    <col min="39" max="39" style="1643" width="13.7109375" hidden="1" customWidth="1"/>
    <col min="40" max="40" style="1643" width="15.00390625" customWidth="1"/>
    <col min="41" max="41" style="1643" width="16.00390625" customWidth="1"/>
    <col min="42" max="45" style="1643" width="10.00390625" customWidth="1"/>
    <col min="46" max="46" style="1636" width="10.57421875" hidden="1"/>
  </cols>
  <sheetData>
    <row customHeight="1" ht="22.5" hidden="1">
      <c r="E1" s="413"/>
      <c r="F1" s="413"/>
      <c r="G1" s="413"/>
      <c r="H1" s="2218" t="s">
        <v>369</v>
      </c>
      <c r="I1" s="2218"/>
      <c r="J1" s="2218"/>
      <c r="K1" s="2218"/>
      <c r="L1" s="2218"/>
      <c r="M1" s="2218"/>
      <c r="N1" s="2218"/>
      <c r="O1" s="2218"/>
      <c r="P1" s="2218"/>
      <c r="Q1" s="2218"/>
      <c r="R1" s="2218"/>
      <c r="T1" s="2218" t="s">
        <v>370</v>
      </c>
      <c r="U1" s="2218"/>
      <c r="V1" s="2218"/>
      <c r="X1" s="2218" t="s">
        <v>371</v>
      </c>
      <c r="Y1" s="2218"/>
      <c r="Z1" s="2218"/>
      <c r="AB1" s="2218" t="s">
        <v>372</v>
      </c>
      <c r="AC1" s="2218"/>
      <c r="AT1" s="448" t="s">
        <v>14</v>
      </c>
    </row>
    <row customHeight="1" ht="14.25" hidden="1">
      <c r="AT2" s="448">
        <v>0</v>
      </c>
    </row>
    <row s="1614" customFormat="1" customHeight="1" ht="5.25">
      <c r="C3" s="702"/>
      <c r="D3" s="703"/>
      <c r="E3" s="703"/>
      <c r="F3" s="703"/>
      <c r="G3" s="703"/>
      <c r="H3" s="703" t="s">
        <v>373</v>
      </c>
      <c r="I3" s="703"/>
      <c r="J3" s="703"/>
      <c r="K3" s="703"/>
      <c r="L3" s="703"/>
      <c r="M3" s="703"/>
      <c r="N3" s="703"/>
      <c r="O3" s="703"/>
      <c r="P3" s="703"/>
      <c r="Q3" s="703"/>
      <c r="R3" s="703"/>
      <c r="S3" s="703"/>
      <c r="T3" s="703"/>
      <c r="U3" s="703"/>
      <c r="V3" s="703"/>
      <c r="W3" s="703"/>
      <c r="X3" s="703"/>
      <c r="Y3" s="703"/>
      <c r="Z3" s="703"/>
      <c r="AA3" s="703"/>
      <c r="AB3" s="703"/>
      <c r="AC3" s="703"/>
      <c r="AD3" s="703"/>
      <c r="AE3" s="703"/>
      <c r="AF3" s="703"/>
      <c r="AG3" s="703"/>
      <c r="AH3" s="703"/>
      <c r="AJ3" s="512"/>
      <c r="AK3" s="512"/>
      <c r="AL3" s="512"/>
      <c r="AM3" s="512"/>
      <c r="AN3" s="512"/>
      <c r="AO3" s="512"/>
      <c r="AP3" s="512"/>
      <c r="AQ3" s="512"/>
      <c r="AR3" s="512"/>
      <c r="AS3" s="512"/>
      <c r="AT3" s="701">
        <v>5</v>
      </c>
    </row>
    <row customHeight="1" ht="39.75">
      <c r="C4" s="451"/>
      <c r="D4" s="2158" t="str">
        <f>ORG_VD_NAME_FORM</f>
        <v>Форма 2. Общая информация об объектах теплоснабжения регулируемой организации, единой теплоснабжающей организации в ценовых зонах теплоснабжения, теплоснабжающей организации в ценовых зонах теплоснабжения и теплосетевой организации в ценовых зонах теплоснабжения</v>
      </c>
      <c r="E4" s="2159"/>
      <c r="F4" s="2159"/>
      <c r="G4" s="2159"/>
      <c r="H4" s="2159"/>
      <c r="I4" s="2159"/>
      <c r="J4" s="2159"/>
      <c r="K4" s="2159"/>
      <c r="L4" s="2159"/>
      <c r="M4" s="2159"/>
      <c r="N4" s="2159"/>
      <c r="O4" s="2159"/>
      <c r="P4" s="2159"/>
      <c r="Q4" s="2159"/>
      <c r="R4" s="2160"/>
      <c r="S4" s="854"/>
      <c r="T4" s="700"/>
      <c r="U4" s="700"/>
      <c r="V4" s="700"/>
      <c r="W4" s="700"/>
      <c r="X4" s="700"/>
      <c r="Y4" s="700"/>
      <c r="Z4" s="700"/>
      <c r="AA4" s="700"/>
      <c r="AB4" s="700"/>
      <c r="AC4" s="700"/>
      <c r="AD4" s="700"/>
      <c r="AE4" s="492"/>
      <c r="AF4" s="492"/>
      <c r="AG4" s="492"/>
      <c r="AH4" s="492"/>
      <c r="AI4" s="489"/>
      <c r="AT4" s="448">
        <v>38</v>
      </c>
    </row>
    <row s="1636" customFormat="1" customHeight="1" ht="18">
      <c r="A5" s="760"/>
      <c r="C5" s="823"/>
      <c r="D5" s="2215" t="str">
        <f>IF(org=0,"Не определено",org)</f>
        <v>ПАО "КГК"</v>
      </c>
      <c r="E5" s="2216"/>
      <c r="F5" s="2216"/>
      <c r="G5" s="2216"/>
      <c r="H5" s="2216"/>
      <c r="I5" s="2216"/>
      <c r="J5" s="2216"/>
      <c r="K5" s="2216"/>
      <c r="L5" s="2216"/>
      <c r="M5" s="2216"/>
      <c r="N5" s="2216"/>
      <c r="O5" s="2216"/>
      <c r="P5" s="2216"/>
      <c r="Q5" s="2216"/>
      <c r="R5" s="2217"/>
      <c r="S5" s="854"/>
      <c r="T5" s="700"/>
      <c r="U5" s="700"/>
      <c r="V5" s="700"/>
      <c r="W5" s="700"/>
      <c r="X5" s="700"/>
      <c r="Y5" s="700"/>
      <c r="Z5" s="700"/>
      <c r="AA5" s="700"/>
      <c r="AB5" s="700"/>
      <c r="AC5" s="700"/>
      <c r="AD5" s="700"/>
      <c r="AE5" s="492"/>
      <c r="AF5" s="492"/>
      <c r="AG5" s="492"/>
      <c r="AH5" s="492"/>
      <c r="AI5" s="489"/>
      <c r="AJ5" s="512"/>
      <c r="AK5" s="512"/>
      <c r="AL5" s="512"/>
      <c r="AM5" s="512"/>
      <c r="AN5" s="512"/>
      <c r="AO5" s="512"/>
      <c r="AP5" s="512"/>
      <c r="AQ5" s="512"/>
      <c r="AR5" s="512"/>
      <c r="AS5" s="512"/>
      <c r="AT5" s="759">
        <v>17</v>
      </c>
    </row>
    <row s="1613" customFormat="1" customHeight="1" ht="11.549999999999999">
      <c r="A6" s="480"/>
      <c r="C6" s="487"/>
      <c r="D6" s="486"/>
      <c r="E6" s="486"/>
      <c r="F6" s="486"/>
      <c r="G6" s="486"/>
      <c r="H6" s="486"/>
      <c r="I6" s="486"/>
      <c r="J6" s="486"/>
      <c r="K6" s="486"/>
      <c r="L6" s="486"/>
      <c r="M6" s="486"/>
      <c r="N6" s="486"/>
      <c r="O6" s="486"/>
      <c r="P6" s="486"/>
      <c r="Q6" s="486"/>
      <c r="R6" s="753"/>
      <c r="S6" s="753"/>
      <c r="T6" s="486"/>
      <c r="U6" s="486"/>
      <c r="V6" s="713"/>
      <c r="W6" s="713"/>
      <c r="X6" s="486"/>
      <c r="Y6" s="486"/>
      <c r="Z6" s="713"/>
      <c r="AA6" s="713"/>
      <c r="AB6" s="486"/>
      <c r="AC6" s="713"/>
      <c r="AD6" s="713"/>
      <c r="AE6" s="486"/>
      <c r="AF6" s="486"/>
      <c r="AG6" s="486"/>
      <c r="AH6" s="486"/>
      <c r="AJ6" s="490"/>
      <c r="AK6" s="490"/>
      <c r="AL6" s="490"/>
      <c r="AM6" s="490"/>
      <c r="AN6" s="490"/>
      <c r="AO6" s="490"/>
      <c r="AP6" s="490"/>
      <c r="AQ6" s="490"/>
      <c r="AR6" s="490"/>
      <c r="AS6" s="490"/>
      <c r="AT6" s="481">
        <v>11</v>
      </c>
    </row>
    <row customHeight="1" ht="14.699999999999998">
      <c r="C7" s="451"/>
      <c r="D7" s="2219" t="s">
        <v>317</v>
      </c>
      <c r="E7" s="2220"/>
      <c r="F7" s="2220"/>
      <c r="G7" s="2220"/>
      <c r="H7" s="2220"/>
      <c r="I7" s="2220"/>
      <c r="J7" s="2220"/>
      <c r="K7" s="2220"/>
      <c r="L7" s="2220"/>
      <c r="M7" s="2220"/>
      <c r="N7" s="2220"/>
      <c r="O7" s="2220"/>
      <c r="P7" s="2220"/>
      <c r="Q7" s="2220"/>
      <c r="R7" s="2220"/>
      <c r="S7" s="2220"/>
      <c r="T7" s="2220"/>
      <c r="U7" s="2220"/>
      <c r="V7" s="2220"/>
      <c r="W7" s="2220"/>
      <c r="X7" s="2220"/>
      <c r="Y7" s="2220"/>
      <c r="Z7" s="2220"/>
      <c r="AA7" s="2220"/>
      <c r="AB7" s="2220"/>
      <c r="AC7" s="2220"/>
      <c r="AD7" s="2221"/>
      <c r="AE7" s="2224" t="s">
        <v>318</v>
      </c>
      <c r="AF7" s="2224" t="s">
        <v>318</v>
      </c>
      <c r="AG7" s="2224" t="s">
        <v>318</v>
      </c>
      <c r="AH7" s="2224" t="s">
        <v>318</v>
      </c>
      <c r="AT7" s="448">
        <v>14</v>
      </c>
    </row>
    <row customHeight="1" ht="27.299999999999997">
      <c r="C8" s="451"/>
      <c r="D8" s="2128" t="s">
        <v>89</v>
      </c>
      <c r="E8" s="2224" t="str">
        <f>"Наименование "&amp;IF(TEMPLATE_SPHERE&lt;&gt;"HEAT","централизованной ","")&amp;"системы "&amp;TEMPLATE_SPHERE_RUS</f>
        <v>Наименование системы теплоснабжения</v>
      </c>
      <c r="F8" s="2224" t="str">
        <f>IF(TEMPLATE_SPHERE&lt;&gt;"HEAT","Регулируемый вид деятельности","Вид регулируемой деятельности")</f>
        <v>Вид регулируемой деятельности</v>
      </c>
      <c r="G8" s="829"/>
      <c r="H8" s="2225" t="s">
        <v>374</v>
      </c>
      <c r="I8" s="2227" t="s">
        <v>375</v>
      </c>
      <c r="J8" s="2224" t="s">
        <v>376</v>
      </c>
      <c r="K8" s="2224"/>
      <c r="L8" s="2224"/>
      <c r="M8" s="2219"/>
      <c r="N8" s="2224" t="s">
        <v>377</v>
      </c>
      <c r="O8" s="2224"/>
      <c r="P8" s="2224" t="s">
        <v>378</v>
      </c>
      <c r="Q8" s="2224"/>
      <c r="R8" s="2231" t="s">
        <v>379</v>
      </c>
      <c r="S8" s="825"/>
      <c r="T8" s="2229" t="s">
        <v>380</v>
      </c>
      <c r="U8" s="2229" t="s">
        <v>381</v>
      </c>
      <c r="V8" s="2229" t="s">
        <v>382</v>
      </c>
      <c r="W8" s="827"/>
      <c r="X8" s="2229" t="s">
        <v>383</v>
      </c>
      <c r="Y8" s="2229" t="s">
        <v>384</v>
      </c>
      <c r="Z8" s="2229" t="s">
        <v>385</v>
      </c>
      <c r="AA8" s="827"/>
      <c r="AB8" s="2229" t="s">
        <v>386</v>
      </c>
      <c r="AC8" s="2229" t="s">
        <v>379</v>
      </c>
      <c r="AD8" s="827"/>
      <c r="AE8" s="2224"/>
      <c r="AF8" s="2224"/>
      <c r="AG8" s="2224"/>
      <c r="AH8" s="2224"/>
      <c r="AT8" s="448">
        <v>26</v>
      </c>
    </row>
    <row customHeight="1" ht="46.199999999999996">
      <c r="C9" s="451"/>
      <c r="D9" s="2128"/>
      <c r="E9" s="2224"/>
      <c r="F9" s="2224"/>
      <c r="G9" s="830"/>
      <c r="H9" s="2226"/>
      <c r="I9" s="2228"/>
      <c r="J9" s="426" t="s">
        <v>387</v>
      </c>
      <c r="K9" s="426" t="s">
        <v>388</v>
      </c>
      <c r="L9" s="426" t="s">
        <v>389</v>
      </c>
      <c r="M9" s="432" t="s">
        <v>390</v>
      </c>
      <c r="N9" s="426" t="s">
        <v>391</v>
      </c>
      <c r="O9" s="426" t="s">
        <v>390</v>
      </c>
      <c r="P9" s="426" t="s">
        <v>392</v>
      </c>
      <c r="Q9" s="426" t="s">
        <v>390</v>
      </c>
      <c r="R9" s="2232"/>
      <c r="S9" s="826"/>
      <c r="T9" s="2230"/>
      <c r="U9" s="2230"/>
      <c r="V9" s="2230"/>
      <c r="W9" s="828"/>
      <c r="X9" s="2230"/>
      <c r="Y9" s="2230"/>
      <c r="Z9" s="2230"/>
      <c r="AA9" s="828"/>
      <c r="AB9" s="2230"/>
      <c r="AC9" s="2230"/>
      <c r="AD9" s="828"/>
      <c r="AE9" s="2224"/>
      <c r="AF9" s="2224"/>
      <c r="AG9" s="2224"/>
      <c r="AH9" s="2224"/>
      <c r="AT9" s="448">
        <v>44</v>
      </c>
    </row>
    <row customHeight="1" ht="12" hidden="1">
      <c r="C10" s="488"/>
      <c r="D10" s="449"/>
      <c r="E10" s="449"/>
      <c r="F10" s="449"/>
      <c r="G10" s="449"/>
      <c r="H10" s="449"/>
      <c r="I10" s="449"/>
      <c r="J10" s="449"/>
      <c r="K10" s="449"/>
      <c r="L10" s="449"/>
      <c r="M10" s="449"/>
      <c r="N10" s="449"/>
      <c r="O10" s="449"/>
      <c r="P10" s="449"/>
      <c r="Q10" s="449"/>
      <c r="R10" s="449"/>
      <c r="S10" s="449"/>
      <c r="T10" s="449"/>
      <c r="U10" s="449"/>
      <c r="V10" s="449"/>
      <c r="W10" s="449"/>
      <c r="X10" s="449"/>
      <c r="Y10" s="449"/>
      <c r="Z10" s="449"/>
      <c r="AA10" s="449"/>
      <c r="AB10" s="449"/>
      <c r="AC10" s="449"/>
      <c r="AD10" s="449"/>
      <c r="AE10" s="449"/>
      <c r="AF10" s="449"/>
      <c r="AG10" s="449"/>
      <c r="AH10" s="449"/>
      <c r="AI10" s="448"/>
      <c r="AP10" s="501"/>
      <c r="AQ10" s="501"/>
      <c r="AT10" s="448">
        <v>0</v>
      </c>
    </row>
    <row s="1642" customFormat="1" customHeight="1" ht="11.25" hidden="1">
      <c r="C11" s="499"/>
      <c r="D11" s="500" t="s">
        <v>393</v>
      </c>
      <c r="E11" s="500"/>
      <c r="F11" s="500"/>
      <c r="G11" s="500"/>
      <c r="H11" s="498"/>
      <c r="I11" s="498"/>
      <c r="J11" s="498"/>
      <c r="K11" s="498"/>
      <c r="L11" s="498"/>
      <c r="M11" s="498"/>
      <c r="N11" s="498"/>
      <c r="O11" s="498"/>
      <c r="P11" s="498"/>
      <c r="Q11" s="498"/>
      <c r="R11" s="498"/>
      <c r="S11" s="498"/>
      <c r="T11" s="498"/>
      <c r="U11" s="498"/>
      <c r="V11" s="498"/>
      <c r="W11" s="498"/>
      <c r="X11" s="498"/>
      <c r="Y11" s="498"/>
      <c r="Z11" s="498"/>
      <c r="AA11" s="498"/>
      <c r="AB11" s="498"/>
      <c r="AC11" s="498"/>
      <c r="AD11" s="498"/>
      <c r="AE11" s="436"/>
      <c r="AF11" s="436"/>
      <c r="AG11" s="436"/>
      <c r="AH11" s="436"/>
      <c r="AJ11" s="490"/>
      <c r="AK11" s="490"/>
      <c r="AL11" s="490"/>
      <c r="AM11" s="490"/>
      <c r="AN11" s="490"/>
      <c r="AO11" s="490"/>
      <c r="AP11" s="490"/>
      <c r="AQ11" s="490"/>
      <c r="AR11" s="490"/>
      <c r="AS11" s="490"/>
      <c r="AT11" s="497">
        <v>0</v>
      </c>
    </row>
    <row customHeight="1" ht="14.699999999999998">
      <c r="A12" s="448"/>
      <c r="C12" s="451"/>
      <c r="D12" s="435" t="s">
        <v>118</v>
      </c>
      <c r="E12" s="1778" t="s">
        <v>28</v>
      </c>
      <c r="F12" s="856"/>
      <c r="G12" s="857"/>
      <c r="H12" s="1779"/>
      <c r="I12" s="1779"/>
      <c r="J12" s="434"/>
      <c r="K12" s="1864"/>
      <c r="L12" s="433"/>
      <c r="M12" s="1864"/>
      <c r="N12" s="434"/>
      <c r="O12" s="1864"/>
      <c r="P12" s="434"/>
      <c r="Q12" s="1864"/>
      <c r="R12" s="434"/>
      <c r="S12" s="855"/>
      <c r="T12" s="1779"/>
      <c r="U12" s="434"/>
      <c r="V12" s="434"/>
      <c r="W12" s="828"/>
      <c r="X12" s="1779"/>
      <c r="Y12" s="434"/>
      <c r="Z12" s="434"/>
      <c r="AA12" s="828"/>
      <c r="AB12" s="1779"/>
      <c r="AC12" s="434"/>
      <c r="AD12" s="828"/>
      <c r="AE12" s="2222" t="s">
        <v>394</v>
      </c>
      <c r="AF12" s="2222" t="s">
        <v>395</v>
      </c>
      <c r="AG12" s="2222" t="s">
        <v>396</v>
      </c>
      <c r="AH12" s="2222" t="s">
        <v>397</v>
      </c>
      <c r="AI12" s="448"/>
      <c r="AM12" s="512"/>
      <c r="AP12" s="501" t="s">
        <v>398</v>
      </c>
      <c r="AQ12" s="501" t="s">
        <v>398</v>
      </c>
      <c r="AT12" s="448">
        <v>14</v>
      </c>
    </row>
    <row customHeight="1" ht="18">
      <c r="A13" s="448"/>
      <c r="C13" s="451"/>
      <c r="D13" s="406"/>
      <c r="E13" s="870" t="str">
        <f>IF(TITLE_DIFFERENTIATION_TYPE="нет","","Добавить систему")</f>
        <v/>
      </c>
      <c r="F13" s="870" t="str">
        <f>IF(TITLE_DIFFERENTIATION_TYPE="нет","Добавить вид деятельности","")</f>
        <v>Добавить вид деятельности</v>
      </c>
      <c r="G13" s="314"/>
      <c r="H13" s="407"/>
      <c r="I13" s="407"/>
      <c r="J13" s="407"/>
      <c r="K13" s="407"/>
      <c r="L13" s="407"/>
      <c r="M13" s="407"/>
      <c r="N13" s="407"/>
      <c r="O13" s="407"/>
      <c r="P13" s="407"/>
      <c r="Q13" s="407"/>
      <c r="R13" s="407"/>
      <c r="S13" s="407"/>
      <c r="T13" s="407"/>
      <c r="U13" s="407"/>
      <c r="V13" s="407"/>
      <c r="W13" s="407"/>
      <c r="X13" s="407"/>
      <c r="Y13" s="407"/>
      <c r="Z13" s="407"/>
      <c r="AA13" s="407"/>
      <c r="AB13" s="407"/>
      <c r="AC13" s="407"/>
      <c r="AD13" s="858"/>
      <c r="AE13" s="2223"/>
      <c r="AF13" s="2223"/>
      <c r="AG13" s="2223"/>
      <c r="AH13" s="2223"/>
      <c r="AI13" s="448"/>
      <c r="AT13" s="448">
        <v>17</v>
      </c>
    </row>
    <row customHeight="1" ht="14.699999999999998">
      <c r="AI14" s="448"/>
      <c r="AT14" s="448">
        <v>14</v>
      </c>
    </row>
    <row customHeight="1" ht="14.699999999999998">
      <c r="E15" s="759"/>
      <c r="L15" s="759"/>
      <c r="AT15" s="448">
        <v>14</v>
      </c>
    </row>
    <row customHeight="1" ht="14.699999999999998">
      <c r="L16" s="759"/>
      <c r="AT16" s="448">
        <v>14</v>
      </c>
    </row>
    <row customHeight="1" ht="14.699999999999998">
      <c r="L17" s="759"/>
      <c r="AT17" s="448">
        <v>14</v>
      </c>
    </row>
    <row customHeight="1" ht="22.5" hidden="1">
      <c r="A18" s="450" t="s">
        <v>83</v>
      </c>
      <c r="B18" s="448">
        <v>0</v>
      </c>
      <c r="C18" s="452">
        <v>3</v>
      </c>
      <c r="D18" s="448">
        <v>5</v>
      </c>
      <c r="E18" s="448">
        <v>48</v>
      </c>
      <c r="F18" s="448">
        <v>38</v>
      </c>
      <c r="G18" s="759">
        <v>0</v>
      </c>
      <c r="H18" s="448">
        <v>0</v>
      </c>
      <c r="I18" s="448">
        <v>0</v>
      </c>
      <c r="J18" s="448">
        <v>0</v>
      </c>
      <c r="K18" s="448">
        <v>0</v>
      </c>
      <c r="L18" s="448">
        <v>0</v>
      </c>
      <c r="M18" s="448">
        <v>0</v>
      </c>
      <c r="N18" s="448">
        <v>0</v>
      </c>
      <c r="O18" s="448">
        <v>0</v>
      </c>
      <c r="P18" s="448">
        <v>0</v>
      </c>
      <c r="Q18" s="448">
        <v>0</v>
      </c>
      <c r="R18" s="448">
        <v>0</v>
      </c>
      <c r="S18" s="759">
        <v>0</v>
      </c>
      <c r="T18" s="506">
        <v>0</v>
      </c>
      <c r="U18" s="506">
        <v>0</v>
      </c>
      <c r="V18" s="506">
        <v>0</v>
      </c>
      <c r="W18" s="759">
        <v>0</v>
      </c>
      <c r="X18" s="506">
        <v>0</v>
      </c>
      <c r="Y18" s="506">
        <v>0</v>
      </c>
      <c r="Z18" s="506">
        <v>0</v>
      </c>
      <c r="AA18" s="759">
        <v>0</v>
      </c>
      <c r="AB18" s="506">
        <v>0</v>
      </c>
      <c r="AC18" s="506">
        <v>0</v>
      </c>
      <c r="AD18" s="759">
        <v>0</v>
      </c>
      <c r="AE18" s="448">
        <v>0</v>
      </c>
      <c r="AF18" s="506">
        <v>0</v>
      </c>
      <c r="AG18" s="506">
        <v>0</v>
      </c>
      <c r="AH18" s="506">
        <v>0</v>
      </c>
      <c r="AI18" s="453">
        <v>3</v>
      </c>
      <c r="AJ18" s="490">
        <v>10</v>
      </c>
      <c r="AK18" s="490">
        <v>10</v>
      </c>
      <c r="AL18" s="490">
        <v>10</v>
      </c>
      <c r="AM18" s="490">
        <v>0</v>
      </c>
      <c r="AN18" s="490">
        <v>15</v>
      </c>
      <c r="AO18" s="490">
        <v>16</v>
      </c>
      <c r="AP18" s="490">
        <v>10</v>
      </c>
      <c r="AQ18" s="490">
        <v>10</v>
      </c>
      <c r="AR18" s="490">
        <v>10</v>
      </c>
      <c r="AS18" s="490">
        <v>10</v>
      </c>
      <c r="AT18" s="448">
        <v>23</v>
      </c>
    </row>
  </sheetData>
  <sheetProtection formatColumns="0" formatRows="0" autoFilter="0" sort="0" insertRows="0" insertColumns="1" deleteRows="0" deleteColumns="0"/>
  <mergeCells count="32">
    <mergeCell ref="J8:M8"/>
    <mergeCell ref="N8:O8"/>
    <mergeCell ref="AB8:AB9"/>
    <mergeCell ref="AC8:AC9"/>
    <mergeCell ref="T8:T9"/>
    <mergeCell ref="U8:U9"/>
    <mergeCell ref="V8:V9"/>
    <mergeCell ref="P8:Q8"/>
    <mergeCell ref="R8:R9"/>
    <mergeCell ref="X8:X9"/>
    <mergeCell ref="Y8:Y9"/>
    <mergeCell ref="Z8:Z9"/>
    <mergeCell ref="D8:D9"/>
    <mergeCell ref="E8:E9"/>
    <mergeCell ref="F8:F9"/>
    <mergeCell ref="H8:H9"/>
    <mergeCell ref="I8:I9"/>
    <mergeCell ref="AE12:AE13"/>
    <mergeCell ref="AG7:AG9"/>
    <mergeCell ref="AG12:AG13"/>
    <mergeCell ref="AH7:AH9"/>
    <mergeCell ref="AH12:AH13"/>
    <mergeCell ref="AF12:AF13"/>
    <mergeCell ref="AF7:AF9"/>
    <mergeCell ref="AE7:AE9"/>
    <mergeCell ref="D5:R5"/>
    <mergeCell ref="H1:R1"/>
    <mergeCell ref="D7:AD7"/>
    <mergeCell ref="X1:Z1"/>
    <mergeCell ref="T1:V1"/>
    <mergeCell ref="AB1:AC1"/>
    <mergeCell ref="D4:R4"/>
  </mergeCells>
  <dataValidations count="6">
    <dataValidation type="list" allowBlank="1" showInputMessage="1" showErrorMessage="1" errorTitle="Ошибка" error="Выберите значение из списка" prompt="Выберите значение из списка" sqref="L12">
      <formula1>kind_of_power_te_unit</formula1>
    </dataValidation>
    <dataValidation type="whole" allowBlank="1" showErrorMessage="1" errorTitle="Ошибка" error="Допускается ввод только неотрицательных целых чисел!" sqref="N12 P12 U12:V12 Y12:Z12 J12 R12:S12 AC12">
      <formula1>0</formula1>
      <formula2>9.99999999999999E+23</formula2>
    </dataValidation>
    <dataValidation allowBlank="1" showInputMessage="1" showErrorMessage="1" prompt="Выберите один или несколько одновременно видов деятельности, выполнив последовательно по одному щелчку на строке с видом деятельности" sqref="F12"/>
    <dataValidation type="textLength" operator="lessThanOrEqual" allowBlank="1" showInputMessage="1" showErrorMessage="1" errorTitle="Ошибка" error="Допускается ввод не более 900 символов!" sqref="E12">
      <formula1>900</formula1>
    </dataValidation>
    <dataValidation type="decimal" allowBlank="1" showErrorMessage="1" errorTitle="Ошибка" error="Допускается ввод только неотрицательных чисел!" sqref="H11:AD11 T12 H12:I12 AB12 X12 K12 M12 O12 Q12">
      <formula1>0</formula1>
      <formula2>9.99999999999999E+23</formula2>
    </dataValidation>
    <dataValidation allowBlank="1" showErrorMessage="1" errorTitle="Ошибка" error="Допускается ввод только неотрицательных чисел!" sqref="E11:G11"/>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8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5E108FB8-6468-DA17-5967-16440B0C7CB8}" mc:Ignorable="x14ac xr xr2 xr3">
  <sheetPr>
    <tabColor rgb="FFFFCC99"/>
  </sheetPr>
  <dimension ref="A1:B2"/>
  <sheetViews>
    <sheetView topLeftCell="A1" showGridLines="0" workbookViewId="0">
      <selection activeCell="A1" sqref="A1"/>
    </sheetView>
  </sheetViews>
  <sheetFormatPr defaultColWidth="9.140625" customHeight="1" defaultRowHeight="11.25"/>
  <cols>
    <col min="1" max="2" style="184" width="9.140625"/>
  </cols>
  <sheetData>
    <row customHeight="1" ht="11.25">
      <c r="A1" s="184" t="s">
        <v>138</v>
      </c>
      <c r="B1" s="184" t="s">
        <v>3287</v>
      </c>
    </row>
    <row customHeight="1" ht="11.25">
      <c r="A2" s="184" t="s">
        <v>99</v>
      </c>
      <c r="B2" s="184" t="s">
        <v>3288</v>
      </c>
    </row>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8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5DAF6EE8-1EB8-2038-C8E7-068C6DFBBAF8}" mc:Ignorable="x14ac xr xr2 xr3">
  <sheetPr>
    <tabColor rgb="FFFFCC99"/>
  </sheetPr>
  <dimension ref="A1:B11"/>
  <sheetViews>
    <sheetView topLeftCell="A1" showGridLines="0" workbookViewId="0">
      <selection activeCell="A1" sqref="A1"/>
    </sheetView>
  </sheetViews>
  <sheetFormatPr defaultColWidth="9.140625" customHeight="1" defaultRowHeight="11.25"/>
  <cols>
    <col min="1" max="1" style="1692" width="9.140625"/>
    <col min="2" max="2" style="1692" width="65.28125" customWidth="1"/>
  </cols>
  <sheetData>
    <row customHeight="1" ht="11.25">
      <c r="A1" s="836" t="s">
        <v>3289</v>
      </c>
      <c r="B1" s="836" t="s">
        <v>3290</v>
      </c>
    </row>
    <row customHeight="1" ht="11.25">
      <c r="A2" s="836">
        <v>4213775</v>
      </c>
      <c r="B2" s="836" t="s">
        <v>1241</v>
      </c>
    </row>
    <row customHeight="1" ht="11.25">
      <c r="A3" s="836">
        <v>4213784</v>
      </c>
      <c r="B3" s="836" t="s">
        <v>1271</v>
      </c>
    </row>
    <row customHeight="1" ht="11.25">
      <c r="A4" s="836">
        <v>4213781</v>
      </c>
      <c r="B4" s="836" t="s">
        <v>1264</v>
      </c>
    </row>
    <row customHeight="1" ht="11.25">
      <c r="A5" s="836">
        <v>4213776</v>
      </c>
      <c r="B5" s="836" t="s">
        <v>185</v>
      </c>
    </row>
    <row customHeight="1" ht="11.25">
      <c r="A6" s="836">
        <v>4213777</v>
      </c>
      <c r="B6" s="836" t="s">
        <v>191</v>
      </c>
    </row>
    <row customHeight="1" ht="11.25">
      <c r="A7" s="836">
        <v>4213778</v>
      </c>
      <c r="B7" s="836" t="s">
        <v>197</v>
      </c>
    </row>
    <row customHeight="1" ht="11.25">
      <c r="A8" s="836">
        <v>4213780</v>
      </c>
      <c r="B8" s="836" t="s">
        <v>203</v>
      </c>
    </row>
    <row customHeight="1" ht="11.25">
      <c r="A9" s="836">
        <v>4213779</v>
      </c>
      <c r="B9" s="836" t="s">
        <v>1403</v>
      </c>
    </row>
    <row customHeight="1" ht="11.25">
      <c r="A10" s="836">
        <v>4213783</v>
      </c>
      <c r="B10" s="836" t="s">
        <v>1418</v>
      </c>
    </row>
    <row customHeight="1" ht="11.25">
      <c r="A11" s="836">
        <v>4213782</v>
      </c>
      <c r="B11" s="836" t="s">
        <v>209</v>
      </c>
    </row>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8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919A7966-BAB6-52A9-D59F-3F6AB2654D88}" mc:Ignorable="x14ac xr xr2 xr3">
  <sheetPr>
    <tabColor rgb="FFFFCC99"/>
  </sheetPr>
  <dimension ref="A1:B11"/>
  <sheetViews>
    <sheetView topLeftCell="A1" showGridLines="0" workbookViewId="0">
      <selection activeCell="A1" sqref="A1"/>
    </sheetView>
  </sheetViews>
  <sheetFormatPr defaultColWidth="9.140625" customHeight="1" defaultRowHeight="11.25"/>
  <cols>
    <col min="1" max="1" style="1692" width="9.140625"/>
    <col min="2" max="2" style="1692" width="65.28125" customWidth="1"/>
  </cols>
  <sheetData>
    <row customHeight="1" ht="11.25">
      <c r="A1" s="836" t="s">
        <v>3289</v>
      </c>
      <c r="B1" s="836" t="s">
        <v>3291</v>
      </c>
    </row>
    <row customHeight="1" ht="11.25">
      <c r="A2" s="836" t="s">
        <v>3292</v>
      </c>
      <c r="B2" s="836" t="s">
        <v>1516</v>
      </c>
    </row>
    <row customHeight="1" ht="11.25">
      <c r="A3" s="836" t="s">
        <v>3293</v>
      </c>
      <c r="B3" s="836" t="s">
        <v>1526</v>
      </c>
    </row>
    <row customHeight="1" ht="11.25">
      <c r="A4" s="836" t="s">
        <v>3294</v>
      </c>
      <c r="B4" s="836" t="s">
        <v>1535</v>
      </c>
    </row>
    <row customHeight="1" ht="11.25">
      <c r="A5" s="836" t="s">
        <v>3295</v>
      </c>
      <c r="B5" s="836" t="s">
        <v>1544</v>
      </c>
    </row>
    <row customHeight="1" ht="11.25">
      <c r="A6" s="836" t="s">
        <v>3296</v>
      </c>
      <c r="B6" s="836" t="s">
        <v>1550</v>
      </c>
    </row>
    <row customHeight="1" ht="11.25">
      <c r="A7" s="836" t="s">
        <v>3297</v>
      </c>
      <c r="B7" s="836" t="s">
        <v>1558</v>
      </c>
    </row>
    <row customHeight="1" ht="11.25">
      <c r="A8" s="836" t="s">
        <v>3298</v>
      </c>
      <c r="B8" s="836" t="s">
        <v>1565</v>
      </c>
    </row>
    <row customHeight="1" ht="11.25">
      <c r="A9" s="836" t="s">
        <v>3299</v>
      </c>
      <c r="B9" s="836" t="s">
        <v>1571</v>
      </c>
    </row>
    <row customHeight="1" ht="11.25">
      <c r="A10" s="836" t="s">
        <v>3300</v>
      </c>
      <c r="B10" s="836" t="s">
        <v>1575</v>
      </c>
    </row>
    <row customHeight="1" ht="11.25">
      <c r="A11" s="836" t="s">
        <v>3301</v>
      </c>
      <c r="B11" s="836" t="s">
        <v>1582</v>
      </c>
    </row>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8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418796F1-6BC8-3AA1-FA28-0C0E024F9B55}" mc:Ignorable="x14ac xr xr2 xr3">
  <sheetPr>
    <tabColor rgb="FFFFCC99"/>
  </sheetPr>
  <dimension ref="A1:G82"/>
  <sheetViews>
    <sheetView topLeftCell="A1" showGridLines="0" workbookViewId="0">
      <selection activeCell="A1" sqref="A1"/>
    </sheetView>
  </sheetViews>
  <sheetFormatPr customHeight="1" defaultRowHeight="11.25"/>
  <sheetData>
    <row customHeight="1" ht="11.25">
      <c r="A1" s="374" t="s">
        <v>3077</v>
      </c>
      <c r="B1" s="374" t="s">
        <v>3078</v>
      </c>
      <c r="C1" s="374" t="s">
        <v>3079</v>
      </c>
      <c r="D1" s="374" t="s">
        <v>3080</v>
      </c>
      <c r="E1" s="0" t="s">
        <v>3081</v>
      </c>
      <c r="F1" s="0" t="s">
        <v>3082</v>
      </c>
      <c r="G1" s="0" t="s">
        <v>3083</v>
      </c>
    </row>
    <row customHeight="1" ht="11.25">
      <c r="A2" s="0" t="s">
        <v>16</v>
      </c>
      <c r="B2" s="0" t="s">
        <v>3084</v>
      </c>
      <c r="C2" s="0" t="s">
        <v>3085</v>
      </c>
      <c r="D2" s="0" t="s">
        <v>3084</v>
      </c>
      <c r="E2" s="0" t="s">
        <v>3085</v>
      </c>
      <c r="F2" s="0" t="s">
        <v>3086</v>
      </c>
      <c r="G2" s="0" t="s">
        <v>118</v>
      </c>
    </row>
    <row customHeight="1" ht="11.25">
      <c r="A3" s="0" t="s">
        <v>16</v>
      </c>
      <c r="B3" s="0" t="s">
        <v>3087</v>
      </c>
      <c r="C3" s="0" t="s">
        <v>3088</v>
      </c>
      <c r="D3" s="0" t="s">
        <v>3087</v>
      </c>
      <c r="E3" s="0" t="s">
        <v>3088</v>
      </c>
      <c r="F3" s="0" t="s">
        <v>3086</v>
      </c>
      <c r="G3" s="0" t="s">
        <v>103</v>
      </c>
    </row>
    <row customHeight="1" ht="11.25">
      <c r="A4" s="0" t="s">
        <v>16</v>
      </c>
      <c r="B4" s="0" t="s">
        <v>3089</v>
      </c>
      <c r="C4" s="0" t="s">
        <v>3090</v>
      </c>
      <c r="D4" s="0" t="s">
        <v>3089</v>
      </c>
      <c r="E4" s="0" t="s">
        <v>3090</v>
      </c>
      <c r="F4" s="0" t="s">
        <v>3086</v>
      </c>
      <c r="G4" s="0" t="s">
        <v>91</v>
      </c>
    </row>
    <row customHeight="1" ht="11.25">
      <c r="A5" s="0" t="s">
        <v>16</v>
      </c>
      <c r="B5" s="0" t="s">
        <v>3091</v>
      </c>
      <c r="C5" s="0" t="s">
        <v>3092</v>
      </c>
      <c r="D5" s="0" t="s">
        <v>3091</v>
      </c>
      <c r="E5" s="0" t="s">
        <v>3092</v>
      </c>
      <c r="F5" s="0" t="s">
        <v>3093</v>
      </c>
      <c r="G5" s="0" t="s">
        <v>92</v>
      </c>
    </row>
    <row customHeight="1" ht="11.25">
      <c r="A6" s="0" t="s">
        <v>16</v>
      </c>
      <c r="B6" s="0" t="s">
        <v>3091</v>
      </c>
      <c r="C6" s="0" t="s">
        <v>3092</v>
      </c>
      <c r="D6" s="0" t="s">
        <v>3094</v>
      </c>
      <c r="E6" s="0" t="s">
        <v>3095</v>
      </c>
      <c r="F6" s="0" t="s">
        <v>3096</v>
      </c>
      <c r="G6" s="0" t="s">
        <v>119</v>
      </c>
    </row>
    <row customHeight="1" ht="11.25">
      <c r="A7" s="0" t="s">
        <v>16</v>
      </c>
      <c r="B7" s="0" t="s">
        <v>3091</v>
      </c>
      <c r="C7" s="0" t="s">
        <v>3092</v>
      </c>
      <c r="D7" s="0" t="s">
        <v>3097</v>
      </c>
      <c r="E7" s="0" t="s">
        <v>3098</v>
      </c>
      <c r="F7" s="0" t="s">
        <v>3096</v>
      </c>
      <c r="G7" s="0" t="s">
        <v>93</v>
      </c>
    </row>
    <row customHeight="1" ht="11.25">
      <c r="A8" s="0" t="s">
        <v>16</v>
      </c>
      <c r="B8" s="0" t="s">
        <v>3091</v>
      </c>
      <c r="C8" s="0" t="s">
        <v>3092</v>
      </c>
      <c r="D8" s="0" t="s">
        <v>3099</v>
      </c>
      <c r="E8" s="0" t="s">
        <v>3100</v>
      </c>
      <c r="F8" s="0" t="s">
        <v>3101</v>
      </c>
      <c r="G8" s="0" t="s">
        <v>94</v>
      </c>
    </row>
    <row customHeight="1" ht="11.25">
      <c r="A9" s="0" t="s">
        <v>16</v>
      </c>
      <c r="B9" s="0" t="s">
        <v>3091</v>
      </c>
      <c r="C9" s="0" t="s">
        <v>3092</v>
      </c>
      <c r="D9" s="0" t="s">
        <v>3102</v>
      </c>
      <c r="E9" s="0" t="s">
        <v>3103</v>
      </c>
      <c r="F9" s="0" t="s">
        <v>3096</v>
      </c>
      <c r="G9" s="0" t="s">
        <v>120</v>
      </c>
    </row>
    <row customHeight="1" ht="11.25">
      <c r="A10" s="0" t="s">
        <v>16</v>
      </c>
      <c r="B10" s="0" t="s">
        <v>3091</v>
      </c>
      <c r="C10" s="0" t="s">
        <v>3092</v>
      </c>
      <c r="D10" s="0" t="s">
        <v>3104</v>
      </c>
      <c r="E10" s="0" t="s">
        <v>3105</v>
      </c>
      <c r="F10" s="0" t="s">
        <v>3096</v>
      </c>
      <c r="G10" s="0" t="s">
        <v>156</v>
      </c>
    </row>
    <row customHeight="1" ht="11.25">
      <c r="A11" s="0" t="s">
        <v>16</v>
      </c>
      <c r="B11" s="0" t="s">
        <v>3106</v>
      </c>
      <c r="C11" s="0" t="s">
        <v>3107</v>
      </c>
      <c r="D11" s="0" t="s">
        <v>3106</v>
      </c>
      <c r="E11" s="0" t="s">
        <v>3107</v>
      </c>
      <c r="F11" s="0" t="s">
        <v>3086</v>
      </c>
      <c r="G11" s="0" t="s">
        <v>157</v>
      </c>
    </row>
    <row customHeight="1" ht="11.25">
      <c r="A12" s="0" t="s">
        <v>16</v>
      </c>
      <c r="B12" s="0" t="s">
        <v>3108</v>
      </c>
      <c r="C12" s="0" t="s">
        <v>3109</v>
      </c>
      <c r="D12" s="0" t="s">
        <v>3110</v>
      </c>
      <c r="E12" s="0" t="s">
        <v>3111</v>
      </c>
      <c r="F12" s="0" t="s">
        <v>3096</v>
      </c>
      <c r="G12" s="0" t="s">
        <v>158</v>
      </c>
    </row>
    <row customHeight="1" ht="11.25">
      <c r="A13" s="0" t="s">
        <v>16</v>
      </c>
      <c r="B13" s="0" t="s">
        <v>3108</v>
      </c>
      <c r="C13" s="0" t="s">
        <v>3109</v>
      </c>
      <c r="D13" s="0" t="s">
        <v>3112</v>
      </c>
      <c r="E13" s="0" t="s">
        <v>3113</v>
      </c>
      <c r="F13" s="0" t="s">
        <v>3096</v>
      </c>
      <c r="G13" s="0" t="s">
        <v>159</v>
      </c>
    </row>
    <row customHeight="1" ht="11.25">
      <c r="A14" s="0" t="s">
        <v>16</v>
      </c>
      <c r="B14" s="0" t="s">
        <v>3108</v>
      </c>
      <c r="C14" s="0" t="s">
        <v>3109</v>
      </c>
      <c r="D14" s="0" t="s">
        <v>3114</v>
      </c>
      <c r="E14" s="0" t="s">
        <v>3115</v>
      </c>
      <c r="F14" s="0" t="s">
        <v>3096</v>
      </c>
      <c r="G14" s="0" t="s">
        <v>160</v>
      </c>
    </row>
    <row customHeight="1" ht="11.25">
      <c r="A15" s="0" t="s">
        <v>16</v>
      </c>
      <c r="B15" s="0" t="s">
        <v>3108</v>
      </c>
      <c r="C15" s="0" t="s">
        <v>3109</v>
      </c>
      <c r="D15" s="0" t="s">
        <v>3116</v>
      </c>
      <c r="E15" s="0" t="s">
        <v>3117</v>
      </c>
      <c r="F15" s="0" t="s">
        <v>3118</v>
      </c>
      <c r="G15" s="0" t="s">
        <v>161</v>
      </c>
    </row>
    <row customHeight="1" ht="11.25">
      <c r="A16" s="0" t="s">
        <v>16</v>
      </c>
      <c r="B16" s="0" t="s">
        <v>3108</v>
      </c>
      <c r="C16" s="0" t="s">
        <v>3109</v>
      </c>
      <c r="D16" s="0" t="s">
        <v>3108</v>
      </c>
      <c r="E16" s="0" t="s">
        <v>3109</v>
      </c>
      <c r="F16" s="0" t="s">
        <v>3093</v>
      </c>
      <c r="G16" s="0" t="s">
        <v>1478</v>
      </c>
    </row>
    <row customHeight="1" ht="11.25">
      <c r="A17" s="0" t="s">
        <v>16</v>
      </c>
      <c r="B17" s="0" t="s">
        <v>3108</v>
      </c>
      <c r="C17" s="0" t="s">
        <v>3109</v>
      </c>
      <c r="D17" s="0" t="s">
        <v>3119</v>
      </c>
      <c r="E17" s="0" t="s">
        <v>3120</v>
      </c>
      <c r="F17" s="0" t="s">
        <v>3096</v>
      </c>
      <c r="G17" s="0" t="s">
        <v>1484</v>
      </c>
    </row>
    <row customHeight="1" ht="11.25">
      <c r="A18" s="0" t="s">
        <v>16</v>
      </c>
      <c r="B18" s="0" t="s">
        <v>3108</v>
      </c>
      <c r="C18" s="0" t="s">
        <v>3109</v>
      </c>
      <c r="D18" s="0" t="s">
        <v>3121</v>
      </c>
      <c r="E18" s="0" t="s">
        <v>3122</v>
      </c>
      <c r="F18" s="0" t="s">
        <v>3096</v>
      </c>
      <c r="G18" s="0" t="s">
        <v>1496</v>
      </c>
    </row>
    <row customHeight="1" ht="11.25">
      <c r="A19" s="0" t="s">
        <v>16</v>
      </c>
      <c r="B19" s="0" t="s">
        <v>3108</v>
      </c>
      <c r="C19" s="0" t="s">
        <v>3109</v>
      </c>
      <c r="D19" s="0" t="s">
        <v>3123</v>
      </c>
      <c r="E19" s="0" t="s">
        <v>3124</v>
      </c>
      <c r="F19" s="0" t="s">
        <v>3096</v>
      </c>
      <c r="G19" s="0" t="s">
        <v>1510</v>
      </c>
    </row>
    <row customHeight="1" ht="11.25">
      <c r="A20" s="0" t="s">
        <v>16</v>
      </c>
      <c r="B20" s="0" t="s">
        <v>3108</v>
      </c>
      <c r="C20" s="0" t="s">
        <v>3109</v>
      </c>
      <c r="D20" s="0" t="s">
        <v>3125</v>
      </c>
      <c r="E20" s="0" t="s">
        <v>3126</v>
      </c>
      <c r="F20" s="0" t="s">
        <v>3096</v>
      </c>
      <c r="G20" s="0" t="s">
        <v>1522</v>
      </c>
    </row>
    <row customHeight="1" ht="11.25">
      <c r="A21" s="0" t="s">
        <v>16</v>
      </c>
      <c r="B21" s="0" t="s">
        <v>3108</v>
      </c>
      <c r="C21" s="0" t="s">
        <v>3109</v>
      </c>
      <c r="D21" s="0" t="s">
        <v>3127</v>
      </c>
      <c r="E21" s="0" t="s">
        <v>3128</v>
      </c>
      <c r="F21" s="0" t="s">
        <v>3096</v>
      </c>
      <c r="G21" s="0" t="s">
        <v>1531</v>
      </c>
    </row>
    <row customHeight="1" ht="11.25">
      <c r="A22" s="0" t="s">
        <v>16</v>
      </c>
      <c r="B22" s="0" t="s">
        <v>3108</v>
      </c>
      <c r="C22" s="0" t="s">
        <v>3109</v>
      </c>
      <c r="D22" s="0" t="s">
        <v>3129</v>
      </c>
      <c r="E22" s="0" t="s">
        <v>3130</v>
      </c>
      <c r="F22" s="0" t="s">
        <v>3096</v>
      </c>
      <c r="G22" s="0" t="s">
        <v>1547</v>
      </c>
    </row>
    <row customHeight="1" ht="11.25">
      <c r="A23" s="0" t="s">
        <v>16</v>
      </c>
      <c r="B23" s="0" t="s">
        <v>3108</v>
      </c>
      <c r="C23" s="0" t="s">
        <v>3109</v>
      </c>
      <c r="D23" s="0" t="s">
        <v>3131</v>
      </c>
      <c r="E23" s="0" t="s">
        <v>3132</v>
      </c>
      <c r="F23" s="0" t="s">
        <v>3096</v>
      </c>
      <c r="G23" s="0" t="s">
        <v>1554</v>
      </c>
    </row>
    <row customHeight="1" ht="11.25">
      <c r="A24" s="0" t="s">
        <v>16</v>
      </c>
      <c r="B24" s="0" t="s">
        <v>3108</v>
      </c>
      <c r="C24" s="0" t="s">
        <v>3109</v>
      </c>
      <c r="D24" s="0" t="s">
        <v>3133</v>
      </c>
      <c r="E24" s="0" t="s">
        <v>3134</v>
      </c>
      <c r="F24" s="0" t="s">
        <v>3096</v>
      </c>
      <c r="G24" s="0" t="s">
        <v>1562</v>
      </c>
    </row>
    <row customHeight="1" ht="11.25">
      <c r="A25" s="0" t="s">
        <v>16</v>
      </c>
      <c r="B25" s="0" t="s">
        <v>3108</v>
      </c>
      <c r="C25" s="0" t="s">
        <v>3109</v>
      </c>
      <c r="D25" s="0" t="s">
        <v>3135</v>
      </c>
      <c r="E25" s="0" t="s">
        <v>3136</v>
      </c>
      <c r="F25" s="0" t="s">
        <v>3096</v>
      </c>
      <c r="G25" s="0" t="s">
        <v>1569</v>
      </c>
    </row>
    <row customHeight="1" ht="11.25">
      <c r="A26" s="0" t="s">
        <v>16</v>
      </c>
      <c r="B26" s="0" t="s">
        <v>3108</v>
      </c>
      <c r="C26" s="0" t="s">
        <v>3109</v>
      </c>
      <c r="D26" s="0" t="s">
        <v>3137</v>
      </c>
      <c r="E26" s="0" t="s">
        <v>3138</v>
      </c>
      <c r="F26" s="0" t="s">
        <v>3096</v>
      </c>
      <c r="G26" s="0" t="s">
        <v>1573</v>
      </c>
    </row>
    <row customHeight="1" ht="11.25">
      <c r="A27" s="0" t="s">
        <v>16</v>
      </c>
      <c r="B27" s="0" t="s">
        <v>3108</v>
      </c>
      <c r="C27" s="0" t="s">
        <v>3109</v>
      </c>
      <c r="D27" s="0" t="s">
        <v>3139</v>
      </c>
      <c r="E27" s="0" t="s">
        <v>3140</v>
      </c>
      <c r="F27" s="0" t="s">
        <v>3096</v>
      </c>
      <c r="G27" s="0" t="s">
        <v>1578</v>
      </c>
    </row>
    <row customHeight="1" ht="11.25">
      <c r="A28" s="0" t="s">
        <v>16</v>
      </c>
      <c r="B28" s="0" t="s">
        <v>3108</v>
      </c>
      <c r="C28" s="0" t="s">
        <v>3109</v>
      </c>
      <c r="D28" s="0" t="s">
        <v>3141</v>
      </c>
      <c r="E28" s="0" t="s">
        <v>3142</v>
      </c>
      <c r="F28" s="0" t="s">
        <v>3096</v>
      </c>
      <c r="G28" s="0" t="s">
        <v>1586</v>
      </c>
    </row>
    <row customHeight="1" ht="11.25">
      <c r="A29" s="0" t="s">
        <v>16</v>
      </c>
      <c r="B29" s="0" t="s">
        <v>3108</v>
      </c>
      <c r="C29" s="0" t="s">
        <v>3109</v>
      </c>
      <c r="D29" s="0" t="s">
        <v>3143</v>
      </c>
      <c r="E29" s="0" t="s">
        <v>3144</v>
      </c>
      <c r="F29" s="0" t="s">
        <v>3096</v>
      </c>
      <c r="G29" s="0" t="s">
        <v>1588</v>
      </c>
    </row>
    <row customHeight="1" ht="11.25">
      <c r="A30" s="0" t="s">
        <v>16</v>
      </c>
      <c r="B30" s="0" t="s">
        <v>3108</v>
      </c>
      <c r="C30" s="0" t="s">
        <v>3109</v>
      </c>
      <c r="D30" s="0" t="s">
        <v>3145</v>
      </c>
      <c r="E30" s="0" t="s">
        <v>3146</v>
      </c>
      <c r="F30" s="0" t="s">
        <v>3096</v>
      </c>
      <c r="G30" s="0" t="s">
        <v>1591</v>
      </c>
    </row>
    <row customHeight="1" ht="11.25">
      <c r="A31" s="0" t="s">
        <v>16</v>
      </c>
      <c r="B31" s="0" t="s">
        <v>3108</v>
      </c>
      <c r="C31" s="0" t="s">
        <v>3109</v>
      </c>
      <c r="D31" s="0" t="s">
        <v>3147</v>
      </c>
      <c r="E31" s="0" t="s">
        <v>3148</v>
      </c>
      <c r="F31" s="0" t="s">
        <v>3096</v>
      </c>
      <c r="G31" s="0" t="s">
        <v>1595</v>
      </c>
    </row>
    <row customHeight="1" ht="11.25">
      <c r="A32" s="0" t="s">
        <v>16</v>
      </c>
      <c r="B32" s="0" t="s">
        <v>3108</v>
      </c>
      <c r="C32" s="0" t="s">
        <v>3109</v>
      </c>
      <c r="D32" s="0" t="s">
        <v>3149</v>
      </c>
      <c r="E32" s="0" t="s">
        <v>3150</v>
      </c>
      <c r="F32" s="0" t="s">
        <v>3096</v>
      </c>
      <c r="G32" s="0" t="s">
        <v>1597</v>
      </c>
    </row>
    <row customHeight="1" ht="11.25">
      <c r="A33" s="0" t="s">
        <v>16</v>
      </c>
      <c r="B33" s="0" t="s">
        <v>3108</v>
      </c>
      <c r="C33" s="0" t="s">
        <v>3109</v>
      </c>
      <c r="D33" s="0" t="s">
        <v>3151</v>
      </c>
      <c r="E33" s="0" t="s">
        <v>3152</v>
      </c>
      <c r="F33" s="0" t="s">
        <v>3096</v>
      </c>
      <c r="G33" s="0" t="s">
        <v>1599</v>
      </c>
    </row>
    <row customHeight="1" ht="11.25">
      <c r="A34" s="0" t="s">
        <v>16</v>
      </c>
      <c r="B34" s="0" t="s">
        <v>3108</v>
      </c>
      <c r="C34" s="0" t="s">
        <v>3109</v>
      </c>
      <c r="D34" s="0" t="s">
        <v>3153</v>
      </c>
      <c r="E34" s="0" t="s">
        <v>3154</v>
      </c>
      <c r="F34" s="0" t="s">
        <v>3096</v>
      </c>
      <c r="G34" s="0" t="s">
        <v>1601</v>
      </c>
    </row>
    <row customHeight="1" ht="11.25">
      <c r="A35" s="0" t="s">
        <v>16</v>
      </c>
      <c r="B35" s="0" t="s">
        <v>3108</v>
      </c>
      <c r="C35" s="0" t="s">
        <v>3109</v>
      </c>
      <c r="D35" s="0" t="s">
        <v>3155</v>
      </c>
      <c r="E35" s="0" t="s">
        <v>3156</v>
      </c>
      <c r="F35" s="0" t="s">
        <v>3096</v>
      </c>
      <c r="G35" s="0" t="s">
        <v>1606</v>
      </c>
    </row>
    <row customHeight="1" ht="11.25">
      <c r="A36" s="0" t="s">
        <v>16</v>
      </c>
      <c r="B36" s="0" t="s">
        <v>3157</v>
      </c>
      <c r="C36" s="0" t="s">
        <v>3158</v>
      </c>
      <c r="D36" s="0" t="s">
        <v>3157</v>
      </c>
      <c r="E36" s="0" t="s">
        <v>3158</v>
      </c>
      <c r="F36" s="0" t="s">
        <v>3086</v>
      </c>
      <c r="G36" s="0" t="s">
        <v>1611</v>
      </c>
    </row>
    <row customHeight="1" ht="11.25">
      <c r="A37" s="0" t="s">
        <v>16</v>
      </c>
      <c r="B37" s="0" t="s">
        <v>3159</v>
      </c>
      <c r="C37" s="0" t="s">
        <v>3160</v>
      </c>
      <c r="D37" s="0" t="s">
        <v>3159</v>
      </c>
      <c r="E37" s="0" t="s">
        <v>3160</v>
      </c>
      <c r="F37" s="0" t="s">
        <v>3086</v>
      </c>
      <c r="G37" s="0" t="s">
        <v>1615</v>
      </c>
    </row>
    <row customHeight="1" ht="11.25">
      <c r="A38" s="0" t="s">
        <v>16</v>
      </c>
      <c r="B38" s="0" t="s">
        <v>3161</v>
      </c>
      <c r="C38" s="0" t="s">
        <v>3162</v>
      </c>
      <c r="D38" s="0" t="s">
        <v>3161</v>
      </c>
      <c r="E38" s="0" t="s">
        <v>3162</v>
      </c>
      <c r="F38" s="0" t="s">
        <v>3086</v>
      </c>
      <c r="G38" s="0" t="s">
        <v>1623</v>
      </c>
    </row>
    <row customHeight="1" ht="11.25">
      <c r="A39" s="0" t="s">
        <v>16</v>
      </c>
      <c r="B39" s="0" t="s">
        <v>3163</v>
      </c>
      <c r="C39" s="0" t="s">
        <v>3164</v>
      </c>
      <c r="D39" s="0" t="s">
        <v>3165</v>
      </c>
      <c r="E39" s="0" t="s">
        <v>3166</v>
      </c>
      <c r="F39" s="0" t="s">
        <v>3096</v>
      </c>
      <c r="G39" s="0" t="s">
        <v>1629</v>
      </c>
    </row>
    <row customHeight="1" ht="11.25">
      <c r="A40" s="0" t="s">
        <v>16</v>
      </c>
      <c r="B40" s="0" t="s">
        <v>3163</v>
      </c>
      <c r="C40" s="0" t="s">
        <v>3164</v>
      </c>
      <c r="D40" s="0" t="s">
        <v>3167</v>
      </c>
      <c r="E40" s="0" t="s">
        <v>3168</v>
      </c>
      <c r="F40" s="0" t="s">
        <v>3096</v>
      </c>
      <c r="G40" s="0" t="s">
        <v>1634</v>
      </c>
    </row>
    <row customHeight="1" ht="11.25">
      <c r="A41" s="0" t="s">
        <v>16</v>
      </c>
      <c r="B41" s="0" t="s">
        <v>3163</v>
      </c>
      <c r="C41" s="0" t="s">
        <v>3164</v>
      </c>
      <c r="D41" s="0" t="s">
        <v>3169</v>
      </c>
      <c r="E41" s="0" t="s">
        <v>3170</v>
      </c>
      <c r="F41" s="0" t="s">
        <v>3096</v>
      </c>
      <c r="G41" s="0" t="s">
        <v>1638</v>
      </c>
    </row>
    <row customHeight="1" ht="11.25">
      <c r="A42" s="0" t="s">
        <v>16</v>
      </c>
      <c r="B42" s="0" t="s">
        <v>3163</v>
      </c>
      <c r="C42" s="0" t="s">
        <v>3164</v>
      </c>
      <c r="D42" s="0" t="s">
        <v>3171</v>
      </c>
      <c r="E42" s="0" t="s">
        <v>3172</v>
      </c>
      <c r="F42" s="0" t="s">
        <v>3096</v>
      </c>
      <c r="G42" s="0" t="s">
        <v>1641</v>
      </c>
    </row>
    <row customHeight="1" ht="11.25">
      <c r="A43" s="0" t="s">
        <v>16</v>
      </c>
      <c r="B43" s="0" t="s">
        <v>3163</v>
      </c>
      <c r="C43" s="0" t="s">
        <v>3164</v>
      </c>
      <c r="D43" s="0" t="s">
        <v>3173</v>
      </c>
      <c r="E43" s="0" t="s">
        <v>3174</v>
      </c>
      <c r="F43" s="0" t="s">
        <v>3096</v>
      </c>
      <c r="G43" s="0" t="s">
        <v>1648</v>
      </c>
    </row>
    <row customHeight="1" ht="11.25">
      <c r="A44" s="0" t="s">
        <v>16</v>
      </c>
      <c r="B44" s="0" t="s">
        <v>3163</v>
      </c>
      <c r="C44" s="0" t="s">
        <v>3164</v>
      </c>
      <c r="D44" s="0" t="s">
        <v>3175</v>
      </c>
      <c r="E44" s="0" t="s">
        <v>3176</v>
      </c>
      <c r="F44" s="0" t="s">
        <v>3118</v>
      </c>
      <c r="G44" s="0" t="s">
        <v>1657</v>
      </c>
    </row>
    <row customHeight="1" ht="11.25">
      <c r="A45" s="0" t="s">
        <v>16</v>
      </c>
      <c r="B45" s="0" t="s">
        <v>3163</v>
      </c>
      <c r="C45" s="0" t="s">
        <v>3164</v>
      </c>
      <c r="D45" s="0" t="s">
        <v>3177</v>
      </c>
      <c r="E45" s="0" t="s">
        <v>3178</v>
      </c>
      <c r="F45" s="0" t="s">
        <v>3096</v>
      </c>
      <c r="G45" s="0" t="s">
        <v>1662</v>
      </c>
    </row>
    <row customHeight="1" ht="11.25">
      <c r="A46" s="0" t="s">
        <v>16</v>
      </c>
      <c r="B46" s="0" t="s">
        <v>3163</v>
      </c>
      <c r="C46" s="0" t="s">
        <v>3164</v>
      </c>
      <c r="D46" s="0" t="s">
        <v>3163</v>
      </c>
      <c r="E46" s="0" t="s">
        <v>3164</v>
      </c>
      <c r="F46" s="0" t="s">
        <v>3093</v>
      </c>
      <c r="G46" s="0" t="s">
        <v>1666</v>
      </c>
    </row>
    <row customHeight="1" ht="11.25">
      <c r="A47" s="0" t="s">
        <v>16</v>
      </c>
      <c r="B47" s="0" t="s">
        <v>3163</v>
      </c>
      <c r="C47" s="0" t="s">
        <v>3164</v>
      </c>
      <c r="D47" s="0" t="s">
        <v>3179</v>
      </c>
      <c r="E47" s="0" t="s">
        <v>3180</v>
      </c>
      <c r="F47" s="0" t="s">
        <v>3096</v>
      </c>
      <c r="G47" s="0" t="s">
        <v>1672</v>
      </c>
    </row>
    <row customHeight="1" ht="11.25">
      <c r="A48" s="0" t="s">
        <v>16</v>
      </c>
      <c r="B48" s="0" t="s">
        <v>3163</v>
      </c>
      <c r="C48" s="0" t="s">
        <v>3164</v>
      </c>
      <c r="D48" s="0" t="s">
        <v>3181</v>
      </c>
      <c r="E48" s="0" t="s">
        <v>3182</v>
      </c>
      <c r="F48" s="0" t="s">
        <v>3096</v>
      </c>
      <c r="G48" s="0" t="s">
        <v>1677</v>
      </c>
    </row>
    <row customHeight="1" ht="11.25">
      <c r="A49" s="0" t="s">
        <v>16</v>
      </c>
      <c r="B49" s="0" t="s">
        <v>3163</v>
      </c>
      <c r="C49" s="0" t="s">
        <v>3164</v>
      </c>
      <c r="D49" s="0" t="s">
        <v>3183</v>
      </c>
      <c r="E49" s="0" t="s">
        <v>3184</v>
      </c>
      <c r="F49" s="0" t="s">
        <v>3096</v>
      </c>
      <c r="G49" s="0" t="s">
        <v>1680</v>
      </c>
    </row>
    <row customHeight="1" ht="11.25">
      <c r="A50" s="0" t="s">
        <v>16</v>
      </c>
      <c r="B50" s="0" t="s">
        <v>3163</v>
      </c>
      <c r="C50" s="0" t="s">
        <v>3164</v>
      </c>
      <c r="D50" s="0" t="s">
        <v>3185</v>
      </c>
      <c r="E50" s="0" t="s">
        <v>3186</v>
      </c>
      <c r="F50" s="0" t="s">
        <v>3096</v>
      </c>
      <c r="G50" s="0" t="s">
        <v>1683</v>
      </c>
    </row>
    <row customHeight="1" ht="11.25">
      <c r="A51" s="0" t="s">
        <v>16</v>
      </c>
      <c r="B51" s="0" t="s">
        <v>3163</v>
      </c>
      <c r="C51" s="0" t="s">
        <v>3164</v>
      </c>
      <c r="D51" s="0" t="s">
        <v>3187</v>
      </c>
      <c r="E51" s="0" t="s">
        <v>3188</v>
      </c>
      <c r="F51" s="0" t="s">
        <v>3096</v>
      </c>
      <c r="G51" s="0" t="s">
        <v>1688</v>
      </c>
    </row>
    <row customHeight="1" ht="11.25">
      <c r="A52" s="0" t="s">
        <v>16</v>
      </c>
      <c r="B52" s="0" t="s">
        <v>3163</v>
      </c>
      <c r="C52" s="0" t="s">
        <v>3164</v>
      </c>
      <c r="D52" s="0" t="s">
        <v>3189</v>
      </c>
      <c r="E52" s="0" t="s">
        <v>3190</v>
      </c>
      <c r="F52" s="0" t="s">
        <v>3096</v>
      </c>
      <c r="G52" s="0" t="s">
        <v>1692</v>
      </c>
    </row>
    <row customHeight="1" ht="11.25">
      <c r="A53" s="0" t="s">
        <v>16</v>
      </c>
      <c r="B53" s="0" t="s">
        <v>3191</v>
      </c>
      <c r="C53" s="0" t="s">
        <v>3192</v>
      </c>
      <c r="D53" s="0" t="s">
        <v>3191</v>
      </c>
      <c r="E53" s="0" t="s">
        <v>3192</v>
      </c>
      <c r="F53" s="0" t="s">
        <v>3086</v>
      </c>
      <c r="G53" s="0" t="s">
        <v>1694</v>
      </c>
    </row>
    <row customHeight="1" ht="11.25">
      <c r="A54" s="0" t="s">
        <v>16</v>
      </c>
      <c r="B54" s="0" t="s">
        <v>3193</v>
      </c>
      <c r="C54" s="0" t="s">
        <v>3194</v>
      </c>
      <c r="D54" s="0" t="s">
        <v>3193</v>
      </c>
      <c r="E54" s="0" t="s">
        <v>3194</v>
      </c>
      <c r="F54" s="0" t="s">
        <v>3086</v>
      </c>
      <c r="G54" s="0" t="s">
        <v>1697</v>
      </c>
    </row>
    <row customHeight="1" ht="11.25">
      <c r="A55" s="0" t="s">
        <v>16</v>
      </c>
      <c r="B55" s="0" t="s">
        <v>3195</v>
      </c>
      <c r="C55" s="0" t="s">
        <v>3196</v>
      </c>
      <c r="D55" s="0" t="s">
        <v>3195</v>
      </c>
      <c r="E55" s="0" t="s">
        <v>3196</v>
      </c>
      <c r="F55" s="0" t="s">
        <v>3086</v>
      </c>
      <c r="G55" s="0" t="s">
        <v>1701</v>
      </c>
    </row>
    <row customHeight="1" ht="11.25">
      <c r="A56" s="0" t="s">
        <v>16</v>
      </c>
      <c r="B56" s="0" t="s">
        <v>3197</v>
      </c>
      <c r="C56" s="0" t="s">
        <v>3198</v>
      </c>
      <c r="D56" s="0" t="s">
        <v>3197</v>
      </c>
      <c r="E56" s="0" t="s">
        <v>3198</v>
      </c>
      <c r="F56" s="0" t="s">
        <v>3086</v>
      </c>
      <c r="G56" s="0" t="s">
        <v>1704</v>
      </c>
    </row>
    <row customHeight="1" ht="11.25">
      <c r="A57" s="0" t="s">
        <v>16</v>
      </c>
      <c r="B57" s="0" t="s">
        <v>3199</v>
      </c>
      <c r="C57" s="0" t="s">
        <v>3200</v>
      </c>
      <c r="D57" s="0" t="s">
        <v>3199</v>
      </c>
      <c r="E57" s="0" t="s">
        <v>3200</v>
      </c>
      <c r="F57" s="0" t="s">
        <v>3086</v>
      </c>
      <c r="G57" s="0" t="s">
        <v>1707</v>
      </c>
    </row>
    <row customHeight="1" ht="11.25">
      <c r="A58" s="0" t="s">
        <v>16</v>
      </c>
      <c r="B58" s="0" t="s">
        <v>3201</v>
      </c>
      <c r="C58" s="0" t="s">
        <v>3202</v>
      </c>
      <c r="D58" s="0" t="s">
        <v>3201</v>
      </c>
      <c r="E58" s="0" t="s">
        <v>3202</v>
      </c>
      <c r="F58" s="0" t="s">
        <v>3086</v>
      </c>
      <c r="G58" s="0" t="s">
        <v>1710</v>
      </c>
    </row>
    <row customHeight="1" ht="11.25">
      <c r="A59" s="0" t="s">
        <v>16</v>
      </c>
      <c r="B59" s="0" t="s">
        <v>3203</v>
      </c>
      <c r="C59" s="0" t="s">
        <v>3204</v>
      </c>
      <c r="D59" s="0" t="s">
        <v>3203</v>
      </c>
      <c r="E59" s="0" t="s">
        <v>3204</v>
      </c>
      <c r="F59" s="0" t="s">
        <v>3086</v>
      </c>
      <c r="G59" s="0" t="s">
        <v>1714</v>
      </c>
    </row>
    <row customHeight="1" ht="11.25">
      <c r="A60" s="0" t="s">
        <v>16</v>
      </c>
      <c r="B60" s="0" t="s">
        <v>3205</v>
      </c>
      <c r="C60" s="0" t="s">
        <v>3206</v>
      </c>
      <c r="D60" s="0" t="s">
        <v>3205</v>
      </c>
      <c r="E60" s="0" t="s">
        <v>3206</v>
      </c>
      <c r="F60" s="0" t="s">
        <v>3086</v>
      </c>
      <c r="G60" s="0" t="s">
        <v>1718</v>
      </c>
    </row>
    <row customHeight="1" ht="11.25">
      <c r="A61" s="0" t="s">
        <v>16</v>
      </c>
      <c r="B61" s="0" t="s">
        <v>3207</v>
      </c>
      <c r="C61" s="0" t="s">
        <v>3208</v>
      </c>
      <c r="D61" s="0" t="s">
        <v>3207</v>
      </c>
      <c r="E61" s="0" t="s">
        <v>3208</v>
      </c>
      <c r="F61" s="0" t="s">
        <v>3086</v>
      </c>
      <c r="G61" s="0" t="s">
        <v>3209</v>
      </c>
    </row>
    <row customHeight="1" ht="11.25">
      <c r="A62" s="0" t="s">
        <v>16</v>
      </c>
      <c r="B62" s="0" t="s">
        <v>3210</v>
      </c>
      <c r="C62" s="0" t="s">
        <v>3211</v>
      </c>
      <c r="D62" s="0" t="s">
        <v>3212</v>
      </c>
      <c r="E62" s="0" t="s">
        <v>3213</v>
      </c>
      <c r="F62" s="0" t="s">
        <v>3096</v>
      </c>
      <c r="G62" s="0" t="s">
        <v>3214</v>
      </c>
    </row>
    <row customHeight="1" ht="11.25">
      <c r="A63" s="0" t="s">
        <v>16</v>
      </c>
      <c r="B63" s="0" t="s">
        <v>3210</v>
      </c>
      <c r="C63" s="0" t="s">
        <v>3211</v>
      </c>
      <c r="D63" s="0" t="s">
        <v>3215</v>
      </c>
      <c r="E63" s="0" t="s">
        <v>3216</v>
      </c>
      <c r="F63" s="0" t="s">
        <v>3096</v>
      </c>
      <c r="G63" s="0" t="s">
        <v>3217</v>
      </c>
    </row>
    <row customHeight="1" ht="11.25">
      <c r="A64" s="0" t="s">
        <v>16</v>
      </c>
      <c r="B64" s="0" t="s">
        <v>3210</v>
      </c>
      <c r="C64" s="0" t="s">
        <v>3211</v>
      </c>
      <c r="D64" s="0" t="s">
        <v>3218</v>
      </c>
      <c r="E64" s="0" t="s">
        <v>3219</v>
      </c>
      <c r="F64" s="0" t="s">
        <v>3096</v>
      </c>
      <c r="G64" s="0" t="s">
        <v>3220</v>
      </c>
    </row>
    <row customHeight="1" ht="11.25">
      <c r="A65" s="0" t="s">
        <v>16</v>
      </c>
      <c r="B65" s="0" t="s">
        <v>3210</v>
      </c>
      <c r="C65" s="0" t="s">
        <v>3211</v>
      </c>
      <c r="D65" s="0" t="s">
        <v>3221</v>
      </c>
      <c r="E65" s="0" t="s">
        <v>3222</v>
      </c>
      <c r="F65" s="0" t="s">
        <v>3096</v>
      </c>
      <c r="G65" s="0" t="s">
        <v>3223</v>
      </c>
    </row>
    <row customHeight="1" ht="11.25">
      <c r="A66" s="0" t="s">
        <v>16</v>
      </c>
      <c r="B66" s="0" t="s">
        <v>3210</v>
      </c>
      <c r="C66" s="0" t="s">
        <v>3211</v>
      </c>
      <c r="D66" s="0" t="s">
        <v>3224</v>
      </c>
      <c r="E66" s="0" t="s">
        <v>3225</v>
      </c>
      <c r="F66" s="0" t="s">
        <v>3096</v>
      </c>
      <c r="G66" s="0" t="s">
        <v>3226</v>
      </c>
    </row>
    <row customHeight="1" ht="11.25">
      <c r="A67" s="0" t="s">
        <v>16</v>
      </c>
      <c r="B67" s="0" t="s">
        <v>3210</v>
      </c>
      <c r="C67" s="0" t="s">
        <v>3211</v>
      </c>
      <c r="D67" s="0" t="s">
        <v>3227</v>
      </c>
      <c r="E67" s="0" t="s">
        <v>3228</v>
      </c>
      <c r="F67" s="0" t="s">
        <v>3096</v>
      </c>
      <c r="G67" s="0" t="s">
        <v>2037</v>
      </c>
    </row>
    <row customHeight="1" ht="11.25">
      <c r="A68" s="0" t="s">
        <v>16</v>
      </c>
      <c r="B68" s="0" t="s">
        <v>3210</v>
      </c>
      <c r="C68" s="0" t="s">
        <v>3211</v>
      </c>
      <c r="D68" s="0" t="s">
        <v>3229</v>
      </c>
      <c r="E68" s="0" t="s">
        <v>3230</v>
      </c>
      <c r="F68" s="0" t="s">
        <v>3096</v>
      </c>
      <c r="G68" s="0" t="s">
        <v>3231</v>
      </c>
    </row>
    <row customHeight="1" ht="11.25">
      <c r="A69" s="0" t="s">
        <v>16</v>
      </c>
      <c r="B69" s="0" t="s">
        <v>3210</v>
      </c>
      <c r="C69" s="0" t="s">
        <v>3211</v>
      </c>
      <c r="D69" s="0" t="s">
        <v>3232</v>
      </c>
      <c r="E69" s="0" t="s">
        <v>3233</v>
      </c>
      <c r="F69" s="0" t="s">
        <v>3096</v>
      </c>
      <c r="G69" s="0" t="s">
        <v>2240</v>
      </c>
    </row>
    <row customHeight="1" ht="11.25">
      <c r="A70" s="0" t="s">
        <v>16</v>
      </c>
      <c r="B70" s="0" t="s">
        <v>3210</v>
      </c>
      <c r="C70" s="0" t="s">
        <v>3211</v>
      </c>
      <c r="D70" s="0" t="s">
        <v>3234</v>
      </c>
      <c r="E70" s="0" t="s">
        <v>3235</v>
      </c>
      <c r="F70" s="0" t="s">
        <v>3096</v>
      </c>
      <c r="G70" s="0" t="s">
        <v>3236</v>
      </c>
    </row>
    <row customHeight="1" ht="11.25">
      <c r="A71" s="0" t="s">
        <v>16</v>
      </c>
      <c r="B71" s="0" t="s">
        <v>3210</v>
      </c>
      <c r="C71" s="0" t="s">
        <v>3211</v>
      </c>
      <c r="D71" s="0" t="s">
        <v>3210</v>
      </c>
      <c r="E71" s="0" t="s">
        <v>3211</v>
      </c>
      <c r="F71" s="0" t="s">
        <v>3093</v>
      </c>
      <c r="G71" s="0" t="s">
        <v>3237</v>
      </c>
    </row>
    <row customHeight="1" ht="11.25">
      <c r="A72" s="0" t="s">
        <v>16</v>
      </c>
      <c r="B72" s="0" t="s">
        <v>3210</v>
      </c>
      <c r="C72" s="0" t="s">
        <v>3211</v>
      </c>
      <c r="D72" s="0" t="s">
        <v>3238</v>
      </c>
      <c r="E72" s="0" t="s">
        <v>3239</v>
      </c>
      <c r="F72" s="0" t="s">
        <v>3096</v>
      </c>
      <c r="G72" s="0" t="s">
        <v>3240</v>
      </c>
    </row>
    <row customHeight="1" ht="11.25">
      <c r="A73" s="0" t="s">
        <v>16</v>
      </c>
      <c r="B73" s="0" t="s">
        <v>3210</v>
      </c>
      <c r="C73" s="0" t="s">
        <v>3211</v>
      </c>
      <c r="D73" s="0" t="s">
        <v>3241</v>
      </c>
      <c r="E73" s="0" t="s">
        <v>3242</v>
      </c>
      <c r="F73" s="0" t="s">
        <v>3096</v>
      </c>
      <c r="G73" s="0" t="s">
        <v>3243</v>
      </c>
    </row>
    <row customHeight="1" ht="11.25">
      <c r="A74" s="0" t="s">
        <v>16</v>
      </c>
      <c r="B74" s="0" t="s">
        <v>3210</v>
      </c>
      <c r="C74" s="0" t="s">
        <v>3211</v>
      </c>
      <c r="D74" s="0" t="s">
        <v>3244</v>
      </c>
      <c r="E74" s="0" t="s">
        <v>3245</v>
      </c>
      <c r="F74" s="0" t="s">
        <v>3096</v>
      </c>
      <c r="G74" s="0" t="s">
        <v>3246</v>
      </c>
    </row>
    <row customHeight="1" ht="11.25">
      <c r="A75" s="0" t="s">
        <v>16</v>
      </c>
      <c r="B75" s="0" t="s">
        <v>3247</v>
      </c>
      <c r="C75" s="0" t="s">
        <v>3248</v>
      </c>
      <c r="D75" s="0" t="s">
        <v>3247</v>
      </c>
      <c r="E75" s="0" t="s">
        <v>3248</v>
      </c>
      <c r="F75" s="0" t="s">
        <v>3086</v>
      </c>
      <c r="G75" s="0" t="s">
        <v>3249</v>
      </c>
    </row>
    <row customHeight="1" ht="11.25">
      <c r="A76" s="0" t="s">
        <v>16</v>
      </c>
      <c r="B76" s="0" t="s">
        <v>3250</v>
      </c>
      <c r="C76" s="0" t="s">
        <v>3251</v>
      </c>
      <c r="D76" s="0" t="s">
        <v>3250</v>
      </c>
      <c r="E76" s="0" t="s">
        <v>3251</v>
      </c>
      <c r="F76" s="0" t="s">
        <v>3086</v>
      </c>
      <c r="G76" s="0" t="s">
        <v>3252</v>
      </c>
    </row>
    <row customHeight="1" ht="11.25">
      <c r="A77" s="0" t="s">
        <v>16</v>
      </c>
      <c r="B77" s="0" t="s">
        <v>3253</v>
      </c>
      <c r="C77" s="0" t="s">
        <v>3254</v>
      </c>
      <c r="D77" s="0" t="s">
        <v>3253</v>
      </c>
      <c r="E77" s="0" t="s">
        <v>3254</v>
      </c>
      <c r="F77" s="0" t="s">
        <v>3086</v>
      </c>
      <c r="G77" s="0" t="s">
        <v>3255</v>
      </c>
    </row>
    <row customHeight="1" ht="11.25">
      <c r="A78" s="0" t="s">
        <v>16</v>
      </c>
      <c r="B78" s="0" t="s">
        <v>109</v>
      </c>
      <c r="C78" s="0" t="s">
        <v>110</v>
      </c>
      <c r="D78" s="0" t="s">
        <v>109</v>
      </c>
      <c r="E78" s="0" t="s">
        <v>110</v>
      </c>
      <c r="F78" s="0" t="s">
        <v>3086</v>
      </c>
      <c r="G78" s="0" t="s">
        <v>108</v>
      </c>
    </row>
    <row customHeight="1" ht="11.25">
      <c r="A79" s="0" t="s">
        <v>16</v>
      </c>
      <c r="B79" s="0" t="s">
        <v>3256</v>
      </c>
      <c r="C79" s="0" t="s">
        <v>3257</v>
      </c>
      <c r="D79" s="0" t="s">
        <v>3256</v>
      </c>
      <c r="E79" s="0" t="s">
        <v>3257</v>
      </c>
      <c r="F79" s="0" t="s">
        <v>3086</v>
      </c>
      <c r="G79" s="0" t="s">
        <v>3258</v>
      </c>
    </row>
    <row customHeight="1" ht="11.25">
      <c r="A80" s="0" t="s">
        <v>16</v>
      </c>
      <c r="B80" s="0" t="s">
        <v>3259</v>
      </c>
      <c r="C80" s="0" t="s">
        <v>3260</v>
      </c>
      <c r="D80" s="0" t="s">
        <v>3259</v>
      </c>
      <c r="E80" s="0" t="s">
        <v>3260</v>
      </c>
      <c r="F80" s="0" t="s">
        <v>3086</v>
      </c>
      <c r="G80" s="0" t="s">
        <v>3261</v>
      </c>
    </row>
    <row customHeight="1" ht="11.25">
      <c r="A81" s="0" t="s">
        <v>16</v>
      </c>
      <c r="B81" s="0" t="s">
        <v>3262</v>
      </c>
      <c r="C81" s="0" t="s">
        <v>3263</v>
      </c>
      <c r="D81" s="0" t="s">
        <v>3262</v>
      </c>
      <c r="E81" s="0" t="s">
        <v>3263</v>
      </c>
      <c r="F81" s="0" t="s">
        <v>3086</v>
      </c>
      <c r="G81" s="0" t="s">
        <v>3264</v>
      </c>
    </row>
    <row customHeight="1" ht="11.25">
      <c r="A82" s="0" t="s">
        <v>16</v>
      </c>
      <c r="B82" s="0" t="s">
        <v>3265</v>
      </c>
      <c r="C82" s="0" t="s">
        <v>3266</v>
      </c>
      <c r="D82" s="0" t="s">
        <v>3265</v>
      </c>
      <c r="E82" s="0" t="s">
        <v>3266</v>
      </c>
      <c r="F82" s="0" t="s">
        <v>3086</v>
      </c>
      <c r="G82" s="0" t="s">
        <v>3267</v>
      </c>
    </row>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8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DE472A38-ACA8-8C6D-2748-BA76116A1A28}" mc:Ignorable="x14ac xr xr2 xr3">
  <sheetPr>
    <tabColor rgb="FFFFCC99"/>
  </sheetPr>
  <dimension ref="A1:C3"/>
  <sheetViews>
    <sheetView topLeftCell="A1" showGridLines="0" workbookViewId="0">
      <selection activeCell="A1" sqref="A1"/>
    </sheetView>
  </sheetViews>
  <sheetFormatPr defaultColWidth="9.140625" customHeight="1" defaultRowHeight="11.25"/>
  <cols>
    <col min="1" max="1" style="1692" width="9.140625"/>
    <col min="2" max="2" style="1692" width="84.28125" customWidth="1"/>
    <col min="3" max="3" style="1692" width="9.140625"/>
  </cols>
  <sheetData>
    <row customHeight="1" ht="11.25">
      <c r="A1" s="836" t="s">
        <v>3302</v>
      </c>
      <c r="B1" s="836" t="s">
        <v>3303</v>
      </c>
      <c r="C1" s="836" t="s">
        <v>1186</v>
      </c>
    </row>
    <row customHeight="1" ht="11.25">
      <c r="A2" s="836">
        <v>4189678</v>
      </c>
      <c r="B2" s="836" t="s">
        <v>3304</v>
      </c>
      <c r="C2" s="836" t="s">
        <v>3305</v>
      </c>
    </row>
    <row customHeight="1" ht="11.25">
      <c r="A3" s="836">
        <v>4190415</v>
      </c>
      <c r="B3" s="836" t="s">
        <v>3306</v>
      </c>
      <c r="C3" s="836" t="s">
        <v>3305</v>
      </c>
    </row>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8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802A3968-C904-3BB8-4C28-0D0FFBFABECE}" mc:Ignorable="x14ac xr xr2 xr3">
  <sheetPr>
    <tabColor rgb="FFFFCC99"/>
  </sheetPr>
  <dimension ref="A1:E8"/>
  <sheetViews>
    <sheetView topLeftCell="A1" showGridLines="0" workbookViewId="0">
      <selection activeCell="A1" sqref="A1"/>
    </sheetView>
  </sheetViews>
  <sheetFormatPr defaultColWidth="9.140625" customHeight="1" defaultRowHeight="15"/>
  <cols>
    <col min="1" max="1" style="163" width="38.421875" customWidth="1"/>
    <col min="2" max="5" style="163" width="9.140625"/>
  </cols>
  <sheetData>
    <row customHeight="1" ht="15">
      <c r="A1" s="164" t="s">
        <v>3307</v>
      </c>
      <c r="B1" s="164" t="s">
        <v>3308</v>
      </c>
      <c r="C1" s="164"/>
      <c r="D1" s="164"/>
      <c r="E1" s="164"/>
    </row>
    <row customHeight="1" ht="15">
      <c r="A2" s="164"/>
      <c r="B2" s="164"/>
      <c r="C2" s="164"/>
      <c r="D2" s="164"/>
      <c r="E2" s="164"/>
    </row>
    <row customHeight="1" ht="15">
      <c r="A3" s="164"/>
      <c r="B3" s="164"/>
      <c r="C3" s="164"/>
      <c r="D3" s="164"/>
      <c r="E3" s="164"/>
    </row>
    <row customHeight="1" ht="15">
      <c r="A4" s="164"/>
      <c r="B4" s="164"/>
      <c r="C4" s="164"/>
      <c r="D4" s="164"/>
      <c r="E4" s="164"/>
    </row>
    <row customHeight="1" ht="15">
      <c r="A5" s="164"/>
      <c r="B5" s="164"/>
      <c r="C5" s="164"/>
      <c r="D5" s="164"/>
      <c r="E5" s="164"/>
    </row>
    <row customHeight="1" ht="15">
      <c r="A6" s="164"/>
      <c r="B6" s="164"/>
      <c r="C6" s="164"/>
      <c r="D6" s="164"/>
      <c r="E6" s="164"/>
    </row>
    <row customHeight="1" ht="15">
      <c r="A7" s="164"/>
      <c r="B7" s="164"/>
      <c r="C7" s="164"/>
      <c r="D7" s="164"/>
      <c r="E7" s="164"/>
    </row>
    <row customHeight="1" ht="15">
      <c r="A8" s="164"/>
      <c r="B8" s="164"/>
      <c r="C8" s="164"/>
      <c r="D8" s="164"/>
      <c r="E8" s="164"/>
    </row>
  </sheetData>
  <sheetProtection formatColumns="0" formatRows="0"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8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D015DA38-FEB8-A1D1-6FE8-4EB5CA8A6D5F}" mc:Ignorable="x14ac xr xr2 xr3">
  <sheetPr>
    <tabColor rgb="FFFFCC99"/>
  </sheetPr>
  <dimension ref="A1:E25"/>
  <sheetViews>
    <sheetView topLeftCell="A1" workbookViewId="0">
      <selection activeCell="A1" sqref="A1"/>
    </sheetView>
  </sheetViews>
  <sheetFormatPr customHeight="1" defaultRowHeight="11.25"/>
  <sheetData>
    <row customHeight="1" ht="11.25">
      <c r="A1" s="0" t="s">
        <v>3309</v>
      </c>
      <c r="B1" s="0" t="b">
        <v>1</v>
      </c>
    </row>
    <row customHeight="1" ht="11.25">
      <c r="A2" s="0" t="s">
        <v>3310</v>
      </c>
      <c r="B2" s="0" t="b">
        <v>0</v>
      </c>
    </row>
    <row customHeight="1" ht="11.25">
      <c r="A3" s="0" t="s">
        <v>3311</v>
      </c>
      <c r="B3" s="0" t="b">
        <v>1</v>
      </c>
    </row>
    <row customHeight="1" ht="11.25">
      <c r="A4" s="0" t="s">
        <v>3312</v>
      </c>
      <c r="B4" s="0" t="b">
        <v>0</v>
      </c>
    </row>
    <row customHeight="1" ht="11.25">
      <c r="A5" s="0" t="s">
        <v>3313</v>
      </c>
      <c r="B5" s="0" t="b">
        <v>0</v>
      </c>
    </row>
    <row customHeight="1" ht="11.25">
      <c r="A6" s="0" t="s">
        <v>3314</v>
      </c>
      <c r="B6" s="0" t="b">
        <v>0</v>
      </c>
    </row>
    <row customHeight="1" ht="11.25">
      <c r="A7" s="0" t="s">
        <v>3315</v>
      </c>
      <c r="B7" s="0" t="b">
        <v>0</v>
      </c>
    </row>
    <row customHeight="1" ht="11.25">
      <c r="A8" s="0" t="s">
        <v>3316</v>
      </c>
      <c r="B8" s="0" t="b">
        <v>0</v>
      </c>
    </row>
    <row customHeight="1" ht="11.25">
      <c r="A9" s="0" t="s">
        <v>3317</v>
      </c>
      <c r="B9" s="0" t="b">
        <v>0</v>
      </c>
    </row>
    <row customHeight="1" ht="11.25">
      <c r="A10" s="0" t="s">
        <v>3318</v>
      </c>
      <c r="B10" s="0" t="b">
        <v>0</v>
      </c>
    </row>
    <row customHeight="1" ht="11.25">
      <c r="A11" s="0" t="s">
        <v>3319</v>
      </c>
      <c r="B11" s="0" t="b">
        <v>0</v>
      </c>
    </row>
    <row customHeight="1" ht="11.25">
      <c r="A12" s="0" t="s">
        <v>3320</v>
      </c>
      <c r="B12" s="0" t="b">
        <v>0</v>
      </c>
    </row>
    <row customHeight="1" ht="11.25">
      <c r="A13" s="0" t="s">
        <v>3321</v>
      </c>
      <c r="B13" s="0" t="b">
        <v>0</v>
      </c>
    </row>
    <row customHeight="1" ht="11.25">
      <c r="A14" s="0" t="s">
        <v>3322</v>
      </c>
      <c r="B14" s="0" t="b">
        <v>1</v>
      </c>
    </row>
    <row customHeight="1" ht="11.25">
      <c r="A15" s="0" t="s">
        <v>3323</v>
      </c>
      <c r="B15" s="0" t="b">
        <v>1</v>
      </c>
    </row>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8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F4A116F8-C68A-F8D8-6208-435B25587A78}" mc:Ignorable="x14ac xr xr2 xr3">
  <sheetPr>
    <tabColor rgb="FFFFCC99"/>
  </sheetPr>
  <dimension ref="A1:A1"/>
  <sheetViews>
    <sheetView topLeftCell="A1" showGridLines="0" workbookViewId="0">
      <selection activeCell="A1" sqref="A1"/>
    </sheetView>
  </sheetViews>
  <sheetFormatPr defaultColWidth="9.140625" customHeight="1" defaultRowHeight="12.75"/>
  <cols>
    <col min="1" max="1" style="2629" width="9.140625"/>
  </cols>
  <sheetData>
    <row customHeight="1" ht="12.75">
      <c r="A1" s="62"/>
    </row>
  </sheetData>
  <sheetProtection sort="0" autoFilter="0" insertRows="0" insertColumns="1" deleteRows="0" deleteColumns="0"/>
  <pageMargins left="0.75" right="0.75" top="1.00" bottom="1.00" header="0.50" footer="0.50"/>
  <pageSetup pageOrder="downThenOver" orientation="portrait"/>
  <headerFooter>
    <oddHeader>&amp;L&amp;C&amp;R</oddHeader>
    <oddFooter>&amp;L&amp;C&amp;R</oddFooter>
    <evenHeader>&amp;L&amp;C&amp;R</evenHeader>
    <evenFooter>&amp;L&amp;C&amp;R</evenFooter>
  </headerFooter>
</worksheet>
</file>

<file path=xl/worksheets/sheet8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228DDDA7-5C28-90E8-B5F7-B04B3142536D}" mc:Ignorable="x14ac xr xr2 xr3">
  <sheetPr>
    <tabColor rgb="FFFFCC99"/>
  </sheetPr>
  <dimension ref="A1:B253"/>
  <sheetViews>
    <sheetView topLeftCell="A1" showGridLines="0" workbookViewId="0">
      <selection activeCell="A1" sqref="A1"/>
    </sheetView>
  </sheetViews>
  <sheetFormatPr defaultColWidth="9.140625" customHeight="1" defaultRowHeight="11.25"/>
  <cols>
    <col min="1" max="1" style="1851" width="36.28125" customWidth="1"/>
    <col min="2" max="2" style="1851" width="21.140625" customWidth="1"/>
  </cols>
  <sheetData>
    <row customHeight="1" ht="11.25">
      <c r="A1" s="68" t="s">
        <v>3324</v>
      </c>
      <c r="B1" s="68" t="s">
        <v>3325</v>
      </c>
    </row>
    <row customHeight="1" ht="11.25">
      <c r="A2" s="65" t="s">
        <v>3326</v>
      </c>
      <c r="B2" s="65" t="s">
        <v>3327</v>
      </c>
    </row>
    <row customHeight="1" ht="11.25">
      <c r="A3" s="65" t="s">
        <v>3328</v>
      </c>
      <c r="B3" s="65" t="s">
        <v>3329</v>
      </c>
    </row>
    <row customHeight="1" ht="11.25">
      <c r="A4" s="65" t="s">
        <v>3330</v>
      </c>
      <c r="B4" s="65" t="s">
        <v>3331</v>
      </c>
    </row>
    <row customHeight="1" ht="11.25">
      <c r="A5" s="65" t="s">
        <v>3332</v>
      </c>
      <c r="B5" s="65" t="s">
        <v>3333</v>
      </c>
    </row>
    <row customHeight="1" ht="11.25">
      <c r="A6" s="65" t="s">
        <v>3334</v>
      </c>
      <c r="B6" s="65" t="s">
        <v>3335</v>
      </c>
    </row>
    <row customHeight="1" ht="11.25">
      <c r="A7" s="65" t="s">
        <v>3336</v>
      </c>
      <c r="B7" s="65" t="s">
        <v>3337</v>
      </c>
    </row>
    <row customHeight="1" ht="11.25">
      <c r="A8" s="65" t="s">
        <v>3338</v>
      </c>
      <c r="B8" s="65" t="s">
        <v>3339</v>
      </c>
    </row>
    <row customHeight="1" ht="11.25">
      <c r="A9" s="65" t="s">
        <v>3340</v>
      </c>
      <c r="B9" s="65" t="s">
        <v>3341</v>
      </c>
    </row>
    <row customHeight="1" ht="11.25">
      <c r="A10" s="65" t="s">
        <v>3342</v>
      </c>
      <c r="B10" s="65" t="s">
        <v>3343</v>
      </c>
    </row>
    <row customHeight="1" ht="11.25">
      <c r="A11" s="65" t="s">
        <v>3344</v>
      </c>
      <c r="B11" s="65" t="s">
        <v>3345</v>
      </c>
    </row>
    <row customHeight="1" ht="11.25">
      <c r="A12" s="65" t="s">
        <v>3346</v>
      </c>
      <c r="B12" s="65" t="s">
        <v>3347</v>
      </c>
    </row>
    <row customHeight="1" ht="11.25">
      <c r="A13" s="65" t="s">
        <v>3348</v>
      </c>
      <c r="B13" s="65" t="s">
        <v>3349</v>
      </c>
    </row>
    <row customHeight="1" ht="11.25">
      <c r="A14" s="65" t="s">
        <v>3350</v>
      </c>
      <c r="B14" s="65" t="s">
        <v>3351</v>
      </c>
    </row>
    <row customHeight="1" ht="11.25">
      <c r="A15" s="65" t="s">
        <v>3352</v>
      </c>
      <c r="B15" s="65" t="s">
        <v>3353</v>
      </c>
    </row>
    <row customHeight="1" ht="11.25">
      <c r="A16" s="65" t="s">
        <v>3354</v>
      </c>
      <c r="B16" s="65" t="s">
        <v>3355</v>
      </c>
    </row>
    <row customHeight="1" ht="11.25">
      <c r="A17" s="65" t="s">
        <v>3356</v>
      </c>
      <c r="B17" s="65" t="s">
        <v>3357</v>
      </c>
    </row>
    <row customHeight="1" ht="11.25">
      <c r="A18" s="65" t="s">
        <v>3358</v>
      </c>
      <c r="B18" s="65" t="s">
        <v>3359</v>
      </c>
    </row>
    <row customHeight="1" ht="11.25">
      <c r="A19" s="65" t="s">
        <v>3360</v>
      </c>
      <c r="B19" s="65" t="s">
        <v>3361</v>
      </c>
    </row>
    <row customHeight="1" ht="11.25">
      <c r="A20" s="65" t="s">
        <v>3362</v>
      </c>
      <c r="B20" s="65" t="s">
        <v>3363</v>
      </c>
    </row>
    <row customHeight="1" ht="11.25">
      <c r="A21" s="65" t="s">
        <v>3364</v>
      </c>
      <c r="B21" s="65" t="s">
        <v>3365</v>
      </c>
    </row>
    <row customHeight="1" ht="11.25">
      <c r="A22" s="65" t="s">
        <v>3366</v>
      </c>
      <c r="B22" s="65" t="s">
        <v>3367</v>
      </c>
    </row>
    <row customHeight="1" ht="11.25">
      <c r="A23" s="65" t="s">
        <v>3368</v>
      </c>
      <c r="B23" s="65" t="s">
        <v>3369</v>
      </c>
    </row>
    <row customHeight="1" ht="11.25">
      <c r="A24" s="65" t="s">
        <v>3370</v>
      </c>
      <c r="B24" s="65" t="s">
        <v>3371</v>
      </c>
    </row>
    <row customHeight="1" ht="11.25">
      <c r="A25" s="65" t="s">
        <v>3372</v>
      </c>
      <c r="B25" s="65" t="s">
        <v>3373</v>
      </c>
    </row>
    <row customHeight="1" ht="11.25">
      <c r="A26" s="65" t="s">
        <v>3374</v>
      </c>
      <c r="B26" s="65" t="s">
        <v>3375</v>
      </c>
    </row>
    <row customHeight="1" ht="11.25">
      <c r="A27" s="65" t="s">
        <v>3376</v>
      </c>
      <c r="B27" s="65" t="s">
        <v>3377</v>
      </c>
    </row>
    <row customHeight="1" ht="11.25">
      <c r="A28" s="65" t="s">
        <v>3378</v>
      </c>
      <c r="B28" s="65" t="s">
        <v>3379</v>
      </c>
    </row>
    <row customHeight="1" ht="11.25">
      <c r="A29" s="65" t="s">
        <v>3380</v>
      </c>
      <c r="B29" s="65" t="s">
        <v>3381</v>
      </c>
    </row>
    <row customHeight="1" ht="11.25">
      <c r="A30" s="65" t="s">
        <v>3382</v>
      </c>
      <c r="B30" s="65" t="s">
        <v>3383</v>
      </c>
    </row>
    <row customHeight="1" ht="11.25">
      <c r="A31" s="65" t="s">
        <v>3384</v>
      </c>
      <c r="B31" s="65" t="s">
        <v>3385</v>
      </c>
    </row>
    <row customHeight="1" ht="11.25">
      <c r="A32" s="65" t="s">
        <v>3386</v>
      </c>
      <c r="B32" s="65" t="s">
        <v>3387</v>
      </c>
    </row>
    <row customHeight="1" ht="11.25">
      <c r="A33" s="65" t="s">
        <v>3388</v>
      </c>
      <c r="B33" s="65" t="s">
        <v>3389</v>
      </c>
    </row>
    <row customHeight="1" ht="11.25">
      <c r="A34" s="65" t="s">
        <v>3390</v>
      </c>
      <c r="B34" s="65" t="s">
        <v>3391</v>
      </c>
    </row>
    <row customHeight="1" ht="11.25">
      <c r="A35" s="65" t="s">
        <v>3392</v>
      </c>
      <c r="B35" s="65" t="s">
        <v>3393</v>
      </c>
    </row>
    <row customHeight="1" ht="11.25">
      <c r="A36" s="65" t="s">
        <v>3394</v>
      </c>
      <c r="B36" s="65" t="s">
        <v>3395</v>
      </c>
    </row>
    <row customHeight="1" ht="11.25">
      <c r="A37" s="65" t="s">
        <v>3396</v>
      </c>
      <c r="B37" s="65" t="s">
        <v>3397</v>
      </c>
    </row>
    <row customHeight="1" ht="11.25">
      <c r="A38" s="65" t="s">
        <v>3398</v>
      </c>
      <c r="B38" s="65" t="s">
        <v>3399</v>
      </c>
    </row>
    <row customHeight="1" ht="11.25">
      <c r="A39" s="65" t="s">
        <v>3400</v>
      </c>
      <c r="B39" s="65" t="s">
        <v>3401</v>
      </c>
    </row>
    <row customHeight="1" ht="11.25">
      <c r="A40" s="65" t="s">
        <v>3402</v>
      </c>
      <c r="B40" s="65" t="s">
        <v>3403</v>
      </c>
    </row>
    <row customHeight="1" ht="11.25">
      <c r="A41" s="65" t="s">
        <v>3404</v>
      </c>
      <c r="B41" s="65" t="s">
        <v>3405</v>
      </c>
    </row>
    <row customHeight="1" ht="11.25">
      <c r="A42" s="65" t="s">
        <v>3406</v>
      </c>
      <c r="B42" s="65" t="s">
        <v>3407</v>
      </c>
    </row>
    <row customHeight="1" ht="11.25">
      <c r="A43" s="65" t="s">
        <v>3408</v>
      </c>
      <c r="B43" s="65" t="s">
        <v>3409</v>
      </c>
    </row>
    <row customHeight="1" ht="11.25">
      <c r="A44" s="65" t="s">
        <v>3410</v>
      </c>
      <c r="B44" s="65" t="s">
        <v>3411</v>
      </c>
    </row>
    <row customHeight="1" ht="11.25">
      <c r="A45" s="65" t="s">
        <v>3412</v>
      </c>
      <c r="B45" s="65" t="s">
        <v>3413</v>
      </c>
    </row>
    <row customHeight="1" ht="11.25">
      <c r="A46" s="65" t="s">
        <v>3414</v>
      </c>
      <c r="B46" s="65" t="s">
        <v>3415</v>
      </c>
    </row>
    <row customHeight="1" ht="11.25">
      <c r="A47" s="65" t="s">
        <v>3416</v>
      </c>
      <c r="B47" s="65" t="s">
        <v>3417</v>
      </c>
    </row>
    <row customHeight="1" ht="11.25">
      <c r="A48" s="65" t="s">
        <v>3418</v>
      </c>
      <c r="B48" s="65" t="s">
        <v>3419</v>
      </c>
    </row>
    <row customHeight="1" ht="11.25">
      <c r="A49" s="65" t="s">
        <v>3420</v>
      </c>
      <c r="B49" s="65" t="s">
        <v>3421</v>
      </c>
    </row>
    <row customHeight="1" ht="11.25">
      <c r="A50" s="65" t="s">
        <v>3422</v>
      </c>
      <c r="B50" s="65" t="s">
        <v>3423</v>
      </c>
    </row>
    <row customHeight="1" ht="11.25">
      <c r="A51" s="65" t="s">
        <v>3424</v>
      </c>
      <c r="B51" s="65" t="s">
        <v>3425</v>
      </c>
    </row>
    <row customHeight="1" ht="11.25">
      <c r="A52" s="65" t="s">
        <v>3426</v>
      </c>
      <c r="B52" s="65" t="s">
        <v>3427</v>
      </c>
    </row>
    <row customHeight="1" ht="11.25">
      <c r="A53" s="65" t="s">
        <v>3428</v>
      </c>
      <c r="B53" s="65" t="s">
        <v>3429</v>
      </c>
    </row>
    <row customHeight="1" ht="11.25">
      <c r="A54" s="65" t="s">
        <v>3430</v>
      </c>
      <c r="B54" s="65" t="s">
        <v>3431</v>
      </c>
    </row>
    <row customHeight="1" ht="11.25">
      <c r="A55" s="65" t="s">
        <v>3432</v>
      </c>
      <c r="B55" s="65" t="s">
        <v>3433</v>
      </c>
    </row>
    <row customHeight="1" ht="11.25">
      <c r="A56" s="65" t="s">
        <v>3434</v>
      </c>
      <c r="B56" s="65" t="s">
        <v>3435</v>
      </c>
    </row>
    <row customHeight="1" ht="11.25">
      <c r="A57" s="65" t="s">
        <v>3436</v>
      </c>
      <c r="B57" s="65" t="s">
        <v>3437</v>
      </c>
    </row>
    <row customHeight="1" ht="11.25">
      <c r="A58" s="65" t="s">
        <v>3438</v>
      </c>
      <c r="B58" s="65" t="s">
        <v>3439</v>
      </c>
    </row>
    <row customHeight="1" ht="11.25">
      <c r="A59" s="65" t="s">
        <v>3440</v>
      </c>
      <c r="B59" s="65" t="s">
        <v>3441</v>
      </c>
    </row>
    <row customHeight="1" ht="11.25">
      <c r="A60" s="65" t="s">
        <v>3442</v>
      </c>
      <c r="B60" s="65" t="s">
        <v>3443</v>
      </c>
    </row>
    <row customHeight="1" ht="11.25">
      <c r="A61" s="65"/>
      <c r="B61" s="65" t="s">
        <v>3444</v>
      </c>
    </row>
    <row customHeight="1" ht="11.25">
      <c r="A62" s="65"/>
      <c r="B62" s="65" t="s">
        <v>3445</v>
      </c>
    </row>
    <row customHeight="1" ht="11.25">
      <c r="A63" s="65"/>
      <c r="B63" s="65" t="s">
        <v>3446</v>
      </c>
    </row>
    <row customHeight="1" ht="11.25">
      <c r="A64" s="65"/>
      <c r="B64" s="65" t="s">
        <v>3447</v>
      </c>
    </row>
    <row customHeight="1" ht="11.25">
      <c r="A65" s="65"/>
      <c r="B65" s="65" t="s">
        <v>3448</v>
      </c>
    </row>
    <row customHeight="1" ht="11.25">
      <c r="A66" s="65"/>
      <c r="B66" s="65" t="s">
        <v>3449</v>
      </c>
    </row>
    <row customHeight="1" ht="11.25">
      <c r="A67" s="65"/>
      <c r="B67" s="65" t="s">
        <v>3450</v>
      </c>
    </row>
    <row customHeight="1" ht="11.25">
      <c r="A68" s="65"/>
      <c r="B68" s="65" t="s">
        <v>3451</v>
      </c>
    </row>
    <row customHeight="1" ht="11.25">
      <c r="A69" s="65"/>
      <c r="B69" s="65" t="s">
        <v>3452</v>
      </c>
    </row>
    <row customHeight="1" ht="11.25">
      <c r="A70" s="65"/>
      <c r="B70" s="65" t="s">
        <v>3453</v>
      </c>
    </row>
    <row customHeight="1" ht="11.25">
      <c r="A71" s="65"/>
      <c r="B71" s="65"/>
    </row>
    <row customHeight="1" ht="11.25">
      <c r="A72" s="65"/>
      <c r="B72" s="65"/>
    </row>
    <row customHeight="1" ht="11.25">
      <c r="A73" s="65"/>
      <c r="B73" s="65"/>
    </row>
    <row customHeight="1" ht="11.25">
      <c r="A74" s="65"/>
      <c r="B74" s="65"/>
    </row>
    <row customHeight="1" ht="11.25">
      <c r="A75" s="65"/>
      <c r="B75" s="65"/>
    </row>
    <row customHeight="1" ht="11.25">
      <c r="A76" s="65"/>
      <c r="B76" s="65"/>
    </row>
    <row customHeight="1" ht="11.25">
      <c r="A77" s="65"/>
      <c r="B77" s="65"/>
    </row>
    <row customHeight="1" ht="11.25">
      <c r="A78" s="65"/>
      <c r="B78" s="65"/>
    </row>
    <row customHeight="1" ht="11.25">
      <c r="A79" s="65"/>
      <c r="B79" s="65"/>
    </row>
    <row customHeight="1" ht="11.25">
      <c r="A80" s="65"/>
      <c r="B80" s="65"/>
    </row>
    <row customHeight="1" ht="11.25">
      <c r="A81" s="65"/>
      <c r="B81" s="65"/>
    </row>
    <row customHeight="1" ht="11.25">
      <c r="A82" s="65"/>
      <c r="B82" s="65"/>
    </row>
    <row customHeight="1" ht="11.25">
      <c r="A83" s="65"/>
      <c r="B83" s="65"/>
    </row>
    <row customHeight="1" ht="11.25">
      <c r="A84" s="65"/>
      <c r="B84" s="65"/>
    </row>
    <row customHeight="1" ht="11.25">
      <c r="A85" s="65"/>
      <c r="B85" s="65"/>
    </row>
    <row customHeight="1" ht="11.25">
      <c r="A86" s="65"/>
      <c r="B86" s="65"/>
    </row>
    <row customHeight="1" ht="11.25">
      <c r="A87" s="65"/>
      <c r="B87" s="65"/>
    </row>
    <row customHeight="1" ht="11.25">
      <c r="A88" s="65"/>
      <c r="B88" s="65"/>
    </row>
    <row customHeight="1" ht="11.25">
      <c r="A89" s="65"/>
      <c r="B89" s="65"/>
    </row>
    <row customHeight="1" ht="11.25">
      <c r="A90" s="65"/>
      <c r="B90" s="65"/>
    </row>
    <row customHeight="1" ht="11.25">
      <c r="A91" s="65"/>
      <c r="B91" s="65"/>
    </row>
    <row customHeight="1" ht="11.25">
      <c r="A92" s="65"/>
      <c r="B92" s="65"/>
    </row>
    <row customHeight="1" ht="11.25">
      <c r="A93" s="65"/>
      <c r="B93" s="65"/>
    </row>
    <row customHeight="1" ht="11.25">
      <c r="A94" s="65"/>
      <c r="B94" s="65"/>
    </row>
    <row customHeight="1" ht="11.25">
      <c r="A95" s="65"/>
      <c r="B95" s="65"/>
    </row>
    <row customHeight="1" ht="11.25">
      <c r="A96" s="65"/>
      <c r="B96" s="65"/>
    </row>
    <row customHeight="1" ht="11.25">
      <c r="A97" s="65"/>
      <c r="B97" s="65"/>
    </row>
    <row customHeight="1" ht="11.25">
      <c r="A98" s="65"/>
      <c r="B98" s="65"/>
    </row>
    <row customHeight="1" ht="11.25">
      <c r="A99" s="65"/>
      <c r="B99" s="65"/>
    </row>
    <row customHeight="1" ht="11.25">
      <c r="A100" s="65"/>
      <c r="B100" s="65"/>
    </row>
    <row customHeight="1" ht="11.25">
      <c r="A101" s="65"/>
      <c r="B101" s="65"/>
    </row>
    <row customHeight="1" ht="11.25">
      <c r="A102" s="65"/>
      <c r="B102" s="65"/>
    </row>
    <row customHeight="1" ht="11.25">
      <c r="A103" s="65"/>
      <c r="B103" s="65"/>
    </row>
    <row customHeight="1" ht="11.25">
      <c r="A104" s="65"/>
      <c r="B104" s="65"/>
    </row>
    <row customHeight="1" ht="11.25">
      <c r="A105" s="65"/>
      <c r="B105" s="65"/>
    </row>
    <row customHeight="1" ht="11.25">
      <c r="A106" s="65"/>
      <c r="B106" s="65"/>
    </row>
    <row customHeight="1" ht="11.25">
      <c r="A107" s="65"/>
      <c r="B107" s="65"/>
    </row>
    <row customHeight="1" ht="11.25">
      <c r="A108" s="65"/>
      <c r="B108" s="65"/>
    </row>
    <row customHeight="1" ht="11.25">
      <c r="A109" s="65"/>
      <c r="B109" s="65"/>
    </row>
    <row customHeight="1" ht="11.25">
      <c r="A110" s="65"/>
      <c r="B110" s="65"/>
    </row>
    <row customHeight="1" ht="11.25">
      <c r="A111" s="65"/>
      <c r="B111" s="65"/>
    </row>
    <row customHeight="1" ht="11.25">
      <c r="A112" s="65"/>
      <c r="B112" s="65"/>
    </row>
    <row customHeight="1" ht="11.25">
      <c r="A113" s="65"/>
      <c r="B113" s="65"/>
    </row>
    <row customHeight="1" ht="11.25">
      <c r="A114" s="65"/>
      <c r="B114" s="65"/>
    </row>
    <row customHeight="1" ht="11.25">
      <c r="A115" s="65"/>
      <c r="B115" s="65"/>
    </row>
    <row customHeight="1" ht="11.25">
      <c r="A116" s="65"/>
      <c r="B116" s="65"/>
    </row>
    <row customHeight="1" ht="11.25">
      <c r="A117" s="65"/>
      <c r="B117" s="65"/>
    </row>
    <row customHeight="1" ht="11.25">
      <c r="A118" s="65"/>
      <c r="B118" s="65"/>
    </row>
    <row customHeight="1" ht="11.25">
      <c r="A119" s="65"/>
      <c r="B119" s="65"/>
    </row>
    <row customHeight="1" ht="11.25">
      <c r="A120" s="65"/>
      <c r="B120" s="65"/>
    </row>
    <row customHeight="1" ht="11.25">
      <c r="A121" s="65"/>
      <c r="B121" s="65"/>
    </row>
    <row customHeight="1" ht="11.25">
      <c r="A122" s="65"/>
      <c r="B122" s="65"/>
    </row>
    <row customHeight="1" ht="11.25">
      <c r="A123" s="65"/>
      <c r="B123" s="65"/>
    </row>
    <row customHeight="1" ht="11.25">
      <c r="A124" s="65"/>
      <c r="B124" s="65"/>
    </row>
    <row customHeight="1" ht="11.25">
      <c r="A125" s="65"/>
      <c r="B125" s="65"/>
    </row>
    <row customHeight="1" ht="11.25">
      <c r="A126" s="65"/>
      <c r="B126" s="65"/>
    </row>
    <row customHeight="1" ht="11.25">
      <c r="A127" s="65"/>
      <c r="B127" s="65"/>
    </row>
    <row customHeight="1" ht="11.25">
      <c r="A128" s="65"/>
      <c r="B128" s="65"/>
    </row>
    <row customHeight="1" ht="11.25">
      <c r="A129" s="65"/>
      <c r="B129" s="65"/>
    </row>
    <row customHeight="1" ht="11.25">
      <c r="A130" s="65"/>
      <c r="B130" s="65"/>
    </row>
    <row customHeight="1" ht="11.25">
      <c r="A131" s="65"/>
      <c r="B131" s="65"/>
    </row>
    <row customHeight="1" ht="11.25">
      <c r="A132" s="65"/>
      <c r="B132" s="65"/>
    </row>
    <row customHeight="1" ht="11.25">
      <c r="A133" s="65"/>
      <c r="B133" s="65"/>
    </row>
    <row customHeight="1" ht="11.25">
      <c r="A134" s="65"/>
      <c r="B134" s="65"/>
    </row>
    <row customHeight="1" ht="11.25">
      <c r="A135" s="65"/>
      <c r="B135" s="65"/>
    </row>
    <row customHeight="1" ht="11.25">
      <c r="A136" s="65"/>
      <c r="B136" s="65"/>
    </row>
    <row customHeight="1" ht="11.25">
      <c r="A137" s="65"/>
      <c r="B137" s="65"/>
    </row>
    <row customHeight="1" ht="11.25">
      <c r="A138" s="65"/>
      <c r="B138" s="65"/>
    </row>
    <row customHeight="1" ht="11.25">
      <c r="A139" s="65"/>
      <c r="B139" s="65"/>
    </row>
    <row customHeight="1" ht="11.25">
      <c r="A140" s="65"/>
      <c r="B140" s="65"/>
    </row>
    <row customHeight="1" ht="11.25">
      <c r="A141" s="65"/>
      <c r="B141" s="65"/>
    </row>
    <row customHeight="1" ht="11.25">
      <c r="A142" s="65"/>
      <c r="B142" s="65"/>
    </row>
    <row customHeight="1" ht="11.25">
      <c r="A143" s="65"/>
      <c r="B143" s="65"/>
    </row>
    <row customHeight="1" ht="11.25">
      <c r="A144" s="65"/>
      <c r="B144" s="65"/>
    </row>
    <row customHeight="1" ht="11.25">
      <c r="A145" s="65"/>
      <c r="B145" s="65"/>
    </row>
    <row customHeight="1" ht="11.25">
      <c r="A146" s="65"/>
      <c r="B146" s="65"/>
    </row>
    <row customHeight="1" ht="11.25">
      <c r="A147" s="65"/>
      <c r="B147" s="65"/>
    </row>
    <row customHeight="1" ht="11.25">
      <c r="A148" s="65"/>
      <c r="B148" s="65"/>
    </row>
    <row customHeight="1" ht="11.25">
      <c r="A149" s="65"/>
      <c r="B149" s="65"/>
    </row>
    <row customHeight="1" ht="11.25">
      <c r="A150" s="65"/>
      <c r="B150" s="65"/>
    </row>
    <row customHeight="1" ht="11.25">
      <c r="A151" s="65"/>
      <c r="B151" s="65"/>
    </row>
    <row customHeight="1" ht="11.25">
      <c r="A152" s="65"/>
      <c r="B152" s="65"/>
    </row>
    <row customHeight="1" ht="11.25">
      <c r="A153" s="65"/>
      <c r="B153" s="65"/>
    </row>
    <row customHeight="1" ht="11.25">
      <c r="A154" s="65"/>
      <c r="B154" s="65"/>
    </row>
    <row customHeight="1" ht="11.25">
      <c r="A155" s="65"/>
      <c r="B155" s="65"/>
    </row>
    <row customHeight="1" ht="11.25">
      <c r="A156" s="65"/>
      <c r="B156" s="65"/>
    </row>
    <row customHeight="1" ht="11.25">
      <c r="A157" s="65"/>
      <c r="B157" s="65"/>
    </row>
    <row customHeight="1" ht="11.25">
      <c r="A158" s="65"/>
      <c r="B158" s="65"/>
    </row>
    <row customHeight="1" ht="11.25">
      <c r="A159" s="65"/>
      <c r="B159" s="65"/>
    </row>
    <row customHeight="1" ht="11.25">
      <c r="A160" s="65"/>
      <c r="B160" s="65"/>
    </row>
    <row customHeight="1" ht="11.25">
      <c r="A161" s="65"/>
      <c r="B161" s="65"/>
    </row>
    <row customHeight="1" ht="11.25">
      <c r="A162" s="65"/>
      <c r="B162" s="65"/>
    </row>
    <row customHeight="1" ht="11.25">
      <c r="A163" s="65"/>
      <c r="B163" s="65"/>
    </row>
    <row customHeight="1" ht="11.25">
      <c r="A164" s="65"/>
      <c r="B164" s="65"/>
    </row>
    <row customHeight="1" ht="11.25">
      <c r="A165" s="65"/>
      <c r="B165" s="65"/>
    </row>
    <row customHeight="1" ht="11.25">
      <c r="A166" s="65"/>
      <c r="B166" s="65"/>
    </row>
    <row customHeight="1" ht="11.25">
      <c r="A167" s="65"/>
      <c r="B167" s="65"/>
    </row>
    <row customHeight="1" ht="11.25">
      <c r="A168" s="65"/>
      <c r="B168" s="65"/>
    </row>
    <row customHeight="1" ht="11.25">
      <c r="A169" s="65"/>
      <c r="B169" s="65"/>
    </row>
    <row customHeight="1" ht="11.25">
      <c r="A170" s="65"/>
      <c r="B170" s="65"/>
    </row>
    <row customHeight="1" ht="11.25">
      <c r="A171" s="65"/>
      <c r="B171" s="65"/>
    </row>
    <row customHeight="1" ht="11.25">
      <c r="A172" s="65"/>
      <c r="B172" s="65"/>
    </row>
    <row customHeight="1" ht="11.25">
      <c r="A173" s="65"/>
      <c r="B173" s="65"/>
    </row>
    <row customHeight="1" ht="11.25">
      <c r="A174" s="65"/>
      <c r="B174" s="65"/>
    </row>
    <row customHeight="1" ht="11.25">
      <c r="A175" s="65"/>
      <c r="B175" s="65"/>
    </row>
    <row customHeight="1" ht="11.25">
      <c r="A176" s="65"/>
      <c r="B176" s="65"/>
    </row>
    <row customHeight="1" ht="11.25">
      <c r="A177" s="65"/>
      <c r="B177" s="65"/>
    </row>
    <row customHeight="1" ht="11.25">
      <c r="A178" s="65"/>
      <c r="B178" s="65"/>
    </row>
    <row customHeight="1" ht="11.25">
      <c r="A179" s="65"/>
      <c r="B179" s="65"/>
    </row>
    <row customHeight="1" ht="11.25">
      <c r="A180" s="65"/>
      <c r="B180" s="65"/>
    </row>
    <row customHeight="1" ht="11.25">
      <c r="A181" s="65"/>
      <c r="B181" s="65"/>
    </row>
    <row customHeight="1" ht="11.25">
      <c r="A182" s="65"/>
      <c r="B182" s="65"/>
    </row>
    <row customHeight="1" ht="11.25">
      <c r="A183" s="65"/>
      <c r="B183" s="65"/>
    </row>
    <row customHeight="1" ht="11.25">
      <c r="A184" s="65"/>
      <c r="B184" s="65"/>
    </row>
    <row customHeight="1" ht="11.25">
      <c r="A185" s="65"/>
      <c r="B185" s="65"/>
    </row>
    <row customHeight="1" ht="11.25">
      <c r="A186" s="65"/>
      <c r="B186" s="65"/>
    </row>
    <row customHeight="1" ht="11.25">
      <c r="A187" s="65"/>
      <c r="B187" s="65"/>
    </row>
    <row customHeight="1" ht="11.25">
      <c r="A188" s="65"/>
      <c r="B188" s="65"/>
    </row>
    <row customHeight="1" ht="11.25">
      <c r="A189" s="65"/>
      <c r="B189" s="65"/>
    </row>
    <row customHeight="1" ht="11.25">
      <c r="A190" s="65"/>
      <c r="B190" s="65"/>
    </row>
    <row customHeight="1" ht="11.25">
      <c r="A191" s="65"/>
      <c r="B191" s="65"/>
    </row>
    <row customHeight="1" ht="11.25">
      <c r="A192" s="65"/>
      <c r="B192" s="65"/>
    </row>
    <row customHeight="1" ht="11.25">
      <c r="A193" s="65"/>
      <c r="B193" s="65"/>
    </row>
    <row customHeight="1" ht="11.25">
      <c r="A194" s="65"/>
      <c r="B194" s="65"/>
    </row>
    <row customHeight="1" ht="11.25">
      <c r="A195" s="65"/>
      <c r="B195" s="65"/>
    </row>
    <row customHeight="1" ht="11.25">
      <c r="A196" s="65"/>
      <c r="B196" s="65"/>
    </row>
    <row customHeight="1" ht="11.25">
      <c r="A197" s="65"/>
      <c r="B197" s="65"/>
    </row>
    <row customHeight="1" ht="11.25">
      <c r="A198" s="65"/>
      <c r="B198" s="65"/>
    </row>
    <row customHeight="1" ht="11.25">
      <c r="A199" s="65"/>
      <c r="B199" s="65"/>
    </row>
    <row customHeight="1" ht="11.25">
      <c r="A200" s="65"/>
      <c r="B200" s="65"/>
    </row>
    <row customHeight="1" ht="11.25">
      <c r="A201" s="65"/>
      <c r="B201" s="65"/>
    </row>
    <row customHeight="1" ht="11.25">
      <c r="A202" s="65"/>
      <c r="B202" s="65"/>
    </row>
    <row customHeight="1" ht="11.25">
      <c r="A203" s="65"/>
      <c r="B203" s="65"/>
    </row>
    <row customHeight="1" ht="11.25">
      <c r="A204" s="65"/>
      <c r="B204" s="65"/>
    </row>
    <row customHeight="1" ht="11.25">
      <c r="A205" s="65"/>
      <c r="B205" s="65"/>
    </row>
    <row customHeight="1" ht="11.25">
      <c r="A206" s="65"/>
      <c r="B206" s="65"/>
    </row>
    <row customHeight="1" ht="11.25">
      <c r="A207" s="65"/>
      <c r="B207" s="65"/>
    </row>
    <row customHeight="1" ht="11.25">
      <c r="A208" s="65"/>
      <c r="B208" s="65"/>
    </row>
    <row customHeight="1" ht="11.25">
      <c r="A209" s="65"/>
      <c r="B209" s="65"/>
    </row>
    <row customHeight="1" ht="11.25">
      <c r="A210" s="65"/>
      <c r="B210" s="65"/>
    </row>
    <row customHeight="1" ht="11.25">
      <c r="A211" s="65"/>
      <c r="B211" s="65"/>
    </row>
    <row customHeight="1" ht="11.25">
      <c r="A212" s="65"/>
      <c r="B212" s="65"/>
    </row>
    <row customHeight="1" ht="11.25">
      <c r="A213" s="65"/>
      <c r="B213" s="65"/>
    </row>
    <row customHeight="1" ht="11.25">
      <c r="A214" s="65"/>
      <c r="B214" s="65"/>
    </row>
    <row customHeight="1" ht="11.25">
      <c r="A215" s="65"/>
      <c r="B215" s="65"/>
    </row>
    <row customHeight="1" ht="11.25">
      <c r="A216" s="65"/>
      <c r="B216" s="65"/>
    </row>
    <row customHeight="1" ht="11.25">
      <c r="A217" s="65"/>
      <c r="B217" s="65"/>
    </row>
    <row customHeight="1" ht="11.25">
      <c r="A218" s="65"/>
      <c r="B218" s="65"/>
    </row>
    <row customHeight="1" ht="11.25">
      <c r="A219" s="65"/>
      <c r="B219" s="65"/>
    </row>
    <row customHeight="1" ht="11.25">
      <c r="A220" s="65"/>
      <c r="B220" s="65"/>
    </row>
    <row customHeight="1" ht="11.25">
      <c r="A221" s="65"/>
      <c r="B221" s="65"/>
    </row>
    <row customHeight="1" ht="11.25">
      <c r="A222" s="65"/>
      <c r="B222" s="65"/>
    </row>
    <row customHeight="1" ht="11.25">
      <c r="A223" s="65"/>
      <c r="B223" s="65"/>
    </row>
    <row customHeight="1" ht="11.25">
      <c r="A224" s="65"/>
      <c r="B224" s="65"/>
    </row>
    <row customHeight="1" ht="11.25">
      <c r="A225" s="65"/>
      <c r="B225" s="65"/>
    </row>
    <row customHeight="1" ht="11.25">
      <c r="A226" s="65"/>
      <c r="B226" s="65"/>
    </row>
    <row customHeight="1" ht="11.25">
      <c r="A227" s="65"/>
      <c r="B227" s="65"/>
    </row>
    <row customHeight="1" ht="11.25">
      <c r="A228" s="65"/>
      <c r="B228" s="65"/>
    </row>
    <row customHeight="1" ht="11.25">
      <c r="A229" s="65"/>
      <c r="B229" s="65"/>
    </row>
    <row customHeight="1" ht="11.25">
      <c r="A230" s="65"/>
      <c r="B230" s="65"/>
    </row>
    <row customHeight="1" ht="11.25">
      <c r="A231" s="65"/>
      <c r="B231" s="65"/>
    </row>
    <row customHeight="1" ht="11.25">
      <c r="A232" s="65"/>
      <c r="B232" s="65"/>
    </row>
    <row customHeight="1" ht="11.25">
      <c r="A233" s="65"/>
      <c r="B233" s="65"/>
    </row>
    <row customHeight="1" ht="11.25">
      <c r="A234" s="65"/>
      <c r="B234" s="65"/>
    </row>
    <row customHeight="1" ht="11.25">
      <c r="A235" s="65"/>
      <c r="B235" s="65"/>
    </row>
    <row customHeight="1" ht="11.25">
      <c r="A236" s="65"/>
      <c r="B236" s="65"/>
    </row>
    <row customHeight="1" ht="11.25">
      <c r="A237" s="65"/>
      <c r="B237" s="65"/>
    </row>
    <row customHeight="1" ht="11.25">
      <c r="A238" s="65"/>
      <c r="B238" s="65"/>
    </row>
    <row customHeight="1" ht="11.25">
      <c r="A239" s="65"/>
      <c r="B239" s="65"/>
    </row>
    <row customHeight="1" ht="11.25">
      <c r="A240" s="65"/>
      <c r="B240" s="65"/>
    </row>
    <row customHeight="1" ht="11.25">
      <c r="A241" s="65"/>
      <c r="B241" s="65"/>
    </row>
    <row customHeight="1" ht="11.25">
      <c r="A242" s="65"/>
      <c r="B242" s="65"/>
    </row>
    <row customHeight="1" ht="11.25">
      <c r="A243" s="65"/>
      <c r="B243" s="65"/>
    </row>
    <row customHeight="1" ht="11.25">
      <c r="A244" s="65"/>
      <c r="B244" s="65"/>
    </row>
    <row customHeight="1" ht="11.25">
      <c r="A245" s="65"/>
      <c r="B245" s="65"/>
    </row>
    <row customHeight="1" ht="11.25">
      <c r="A246" s="65"/>
      <c r="B246" s="65"/>
    </row>
    <row customHeight="1" ht="11.25">
      <c r="A247" s="65"/>
      <c r="B247" s="65"/>
    </row>
    <row customHeight="1" ht="11.25">
      <c r="A248" s="65"/>
      <c r="B248" s="65"/>
    </row>
    <row customHeight="1" ht="11.25">
      <c r="A249" s="65"/>
      <c r="B249" s="65"/>
    </row>
    <row customHeight="1" ht="11.25">
      <c r="A250" s="65"/>
      <c r="B250" s="65"/>
    </row>
    <row customHeight="1" ht="11.25">
      <c r="A251" s="65"/>
      <c r="B251" s="65"/>
    </row>
    <row customHeight="1" ht="11.25">
      <c r="A252" s="65"/>
      <c r="B252" s="65"/>
    </row>
    <row customHeight="1" ht="11.25">
      <c r="A253" s="65"/>
      <c r="B253" s="65"/>
    </row>
  </sheetData>
  <sheetProtection formatColumns="0" formatRows="0" sort="0" autoFilter="0" insertRows="0" insertColumns="1" deleteRows="0" deleteColumns="0"/>
  <pageMargins left="0.75" right="0.75" top="1.00" bottom="1.00" header="0.50" footer="0.50"/>
  <pageSetup paperSize="9" pageOrder="downThenOver" orientation="portrait"/>
  <headerFooter>
    <oddHeader>&amp;L&amp;C&amp;R</oddHeader>
    <oddFooter>&amp;L&amp;C&amp;R</oddFooter>
    <evenHeader>&amp;L&amp;C&amp;R</evenHeader>
    <evenFooter>&amp;L&amp;C&amp;R</evenFooter>
  </headerFooter>
</worksheet>
</file>

<file path=xl/worksheets/sheet8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19EDB5BF-AAE8-1B37-C284-0DC6EDCD68F8}" mc:Ignorable="x14ac xr xr2 xr3">
  <sheetPr>
    <tabColor rgb="FFFFCC99"/>
  </sheetPr>
  <dimension ref="A1:D36"/>
  <sheetViews>
    <sheetView topLeftCell="A1" showGridLines="0" workbookViewId="0">
      <selection activeCell="A1" sqref="A1"/>
    </sheetView>
  </sheetViews>
  <sheetFormatPr defaultColWidth="9.140625" customHeight="1" defaultRowHeight="11.25"/>
  <cols>
    <col min="1" max="1" style="1851" width="3.7109375" customWidth="1"/>
    <col min="2" max="2" style="1851" width="90.7109375" customWidth="1"/>
    <col min="3" max="4" style="1851" width="9.140625"/>
  </cols>
  <sheetData>
    <row customHeight="1" ht="11.25">
      <c r="B1" s="94" t="s">
        <v>3454</v>
      </c>
    </row>
    <row customHeight="1" ht="90">
      <c r="B2" s="95" t="s">
        <v>3455</v>
      </c>
    </row>
    <row customHeight="1" ht="67.5">
      <c r="B3" s="95" t="s">
        <v>3456</v>
      </c>
    </row>
    <row customHeight="1" ht="33.75">
      <c r="B4" s="95" t="s">
        <v>3457</v>
      </c>
    </row>
    <row customHeight="1" ht="11.25">
      <c r="B5" s="95" t="s">
        <v>3458</v>
      </c>
    </row>
    <row customHeight="1" ht="22.5">
      <c r="B6" s="95" t="s">
        <v>3459</v>
      </c>
    </row>
    <row customHeight="1" ht="22.5">
      <c r="B7" s="95" t="s">
        <v>3460</v>
      </c>
    </row>
    <row customHeight="1" ht="22.5">
      <c r="B8" s="95" t="s">
        <v>3461</v>
      </c>
    </row>
    <row customHeight="1" ht="22.5">
      <c r="B9" s="95" t="s">
        <v>3462</v>
      </c>
    </row>
    <row customHeight="1" ht="56.25">
      <c r="B10" s="95" t="s">
        <v>3463</v>
      </c>
    </row>
    <row customHeight="1" ht="12.75">
      <c r="B11" s="160" t="s">
        <v>3464</v>
      </c>
    </row>
    <row customHeight="1" ht="11.25">
      <c r="B12" s="94" t="s">
        <v>3465</v>
      </c>
    </row>
    <row customHeight="1" ht="22.5">
      <c r="B13" s="95" t="s">
        <v>3466</v>
      </c>
    </row>
    <row customHeight="1" ht="67.5">
      <c r="B14" s="95" t="s">
        <v>3467</v>
      </c>
    </row>
    <row customHeight="1" ht="22.5">
      <c r="B15" s="95" t="s">
        <v>3468</v>
      </c>
    </row>
    <row customHeight="1" ht="11.25">
      <c r="B16" s="94" t="s">
        <v>3469</v>
      </c>
      <c r="D16" s="101"/>
    </row>
    <row customHeight="1" ht="33.75">
      <c r="B17" s="95" t="s">
        <v>3470</v>
      </c>
    </row>
    <row customHeight="1" ht="33.75">
      <c r="B18" s="95" t="s">
        <v>3471</v>
      </c>
    </row>
    <row customHeight="1" ht="11.25">
      <c r="B19" s="95" t="s">
        <v>3472</v>
      </c>
    </row>
    <row customHeight="1" ht="33.75">
      <c r="B20" s="95" t="s">
        <v>3473</v>
      </c>
    </row>
    <row customHeight="1" ht="11.25">
      <c r="B21" s="94" t="s">
        <v>3474</v>
      </c>
    </row>
    <row customHeight="1" ht="11.25">
      <c r="B22" s="95" t="s">
        <v>3475</v>
      </c>
    </row>
    <row r="24" customHeight="1" ht="22.5">
      <c r="B24" s="162" t="s">
        <v>3476</v>
      </c>
    </row>
    <row r="26" customHeight="1" ht="11.25">
      <c r="B26" s="94" t="s">
        <v>3477</v>
      </c>
    </row>
    <row customHeight="1" ht="22.5">
      <c r="B27" s="161" t="s">
        <v>413</v>
      </c>
    </row>
    <row customHeight="1" ht="56.25">
      <c r="B28" s="161" t="s">
        <v>3478</v>
      </c>
    </row>
    <row customHeight="1" ht="11.25">
      <c r="B29" s="211" t="s">
        <v>3479</v>
      </c>
    </row>
    <row customHeight="1" ht="22.5">
      <c r="B30" s="161" t="s">
        <v>3480</v>
      </c>
    </row>
    <row r="32" customHeight="1" ht="11.25">
      <c r="A32" s="189"/>
      <c r="B32" s="190" t="s">
        <v>3481</v>
      </c>
    </row>
    <row customHeight="1" ht="14.25">
      <c r="A33" s="191">
        <v>1</v>
      </c>
      <c r="B33" s="192" t="s">
        <v>3482</v>
      </c>
    </row>
    <row customHeight="1" ht="14.25">
      <c r="A34" s="191">
        <v>2</v>
      </c>
      <c r="B34" s="192" t="s">
        <v>3483</v>
      </c>
    </row>
    <row customHeight="1" ht="11.25">
      <c r="B35" s="190" t="s">
        <v>3484</v>
      </c>
    </row>
    <row customHeight="1" ht="11.25">
      <c r="B36" s="192" t="s">
        <v>3485</v>
      </c>
    </row>
  </sheetData>
  <sheetProtection sort="0" autoFilter="0" insertRows="0" insertColumns="1" deleteRows="0" deleteColumns="0"/>
  <pageMargins left="0.75" right="0.75" top="1.00" bottom="1.00" header="0.50" footer="0.50"/>
  <pageSetup paperSize="9" pageOrder="downThenOver" orientation="portrait"/>
  <headerFooter>
    <oddHeader>&amp;L&amp;C&amp;R</oddHeader>
    <oddFooter>&amp;L&amp;C&amp;R</oddFooter>
    <evenHeader>&amp;L&amp;C&amp;R</evenHeader>
    <evenFooter>&amp;L&amp;C&amp;R</even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3CF12538-4C4A-1B0D-3058-F383082708B4}" mc:Ignorable="x14ac xr xr2 xr3">
  <sheetPr>
    <tabColor theme="3" tint="0.6"/>
  </sheetPr>
  <dimension ref="A1:V18"/>
  <sheetViews>
    <sheetView showGridLines="0" zoomScale="90" workbookViewId="0">
      <pane xSplit="4" ySplit="13" topLeftCell="E14" activePane="bottomRight" state="frozen"/>
      <selection pane="bottomLeft" activeCell="A14" sqref="A14"/>
      <selection pane="topRight" activeCell="E1" sqref="E1"/>
      <selection pane="bottomRight" activeCell="A1" sqref="A1"/>
    </sheetView>
  </sheetViews>
  <sheetFormatPr defaultColWidth="10.57421875" customHeight="1" defaultRowHeight="14.25"/>
  <cols>
    <col min="1" max="1" style="1633" width="9.140625" hidden="1" customWidth="1"/>
    <col min="2" max="2" style="1636" width="9.140625" hidden="1" customWidth="1"/>
    <col min="3" max="3" style="1843" width="3.00390625" customWidth="1"/>
    <col min="4" max="4" style="1636" width="5.00390625" customWidth="1"/>
    <col min="5" max="5" style="1636" width="38.00390625" customWidth="1"/>
    <col min="6" max="7" style="1636" width="3.00390625" customWidth="1"/>
    <col min="8" max="8" style="1636" width="38.00390625" customWidth="1"/>
    <col min="9" max="9" style="1636" width="35.00390625" customWidth="1"/>
    <col min="10" max="10" style="1636" width="103.00390625" customWidth="1"/>
    <col min="11" max="11" style="1820" width="3.00390625" customWidth="1"/>
    <col min="12" max="14" style="1643" width="10.00390625" customWidth="1"/>
    <col min="15" max="15" style="1643" width="13.00390625" customWidth="1"/>
    <col min="16" max="16" style="1643" width="15.00390625" customWidth="1"/>
    <col min="17" max="17" style="1643" width="16.00390625" customWidth="1"/>
    <col min="18" max="21" style="1643" width="10.00390625" customWidth="1"/>
    <col min="22" max="22" style="1636" width="10.57421875" hidden="1"/>
  </cols>
  <sheetData>
    <row customHeight="1" ht="22.5" hidden="1">
      <c r="E1" s="413"/>
      <c r="F1" s="413"/>
      <c r="G1" s="413"/>
      <c r="H1" s="2218" t="s">
        <v>369</v>
      </c>
      <c r="I1" s="2218"/>
      <c r="V1" s="1608" t="s">
        <v>14</v>
      </c>
    </row>
    <row s="1636" customFormat="1" customHeight="1" ht="14.25" hidden="1">
      <c r="C2" s="1620"/>
      <c r="D2" s="2234" t="s">
        <v>118</v>
      </c>
      <c r="E2" s="2236"/>
      <c r="F2" s="1626"/>
      <c r="G2" s="1621" t="s">
        <v>118</v>
      </c>
      <c r="H2" s="1624"/>
      <c r="I2" s="1622"/>
      <c r="L2" s="1623"/>
      <c r="M2" s="1623"/>
      <c r="N2" s="1623"/>
      <c r="O2" s="1623" t="s">
        <v>399</v>
      </c>
      <c r="P2" s="1623"/>
      <c r="Q2" s="1623"/>
      <c r="R2" s="1625" t="s">
        <v>398</v>
      </c>
      <c r="S2" s="1625" t="s">
        <v>398</v>
      </c>
      <c r="T2" s="1623"/>
      <c r="U2" s="1623"/>
      <c r="V2" s="1619">
        <v>0</v>
      </c>
    </row>
    <row s="1636" customFormat="1" customHeight="1" ht="14.25" hidden="1">
      <c r="C3" s="1620"/>
      <c r="D3" s="2235"/>
      <c r="E3" s="2237"/>
      <c r="F3" s="406"/>
      <c r="G3" s="870"/>
      <c r="H3" s="870" t="s">
        <v>400</v>
      </c>
      <c r="I3" s="314"/>
      <c r="L3" s="1623"/>
      <c r="M3" s="1623"/>
      <c r="N3" s="1623"/>
      <c r="O3" s="1623"/>
      <c r="P3" s="1623"/>
      <c r="Q3" s="1623"/>
      <c r="R3" s="1625"/>
      <c r="S3" s="1625"/>
      <c r="T3" s="1623"/>
      <c r="U3" s="1623"/>
      <c r="V3" s="1619">
        <v>0</v>
      </c>
    </row>
    <row customHeight="1" ht="14.25" hidden="1">
      <c r="V4" s="1608">
        <v>0</v>
      </c>
    </row>
    <row s="1614" customFormat="1" customHeight="1" ht="5.25">
      <c r="C5" s="702"/>
      <c r="D5" s="703"/>
      <c r="E5" s="703"/>
      <c r="F5" s="703"/>
      <c r="G5" s="703"/>
      <c r="H5" s="703" t="s">
        <v>373</v>
      </c>
      <c r="I5" s="703"/>
      <c r="J5" s="703"/>
      <c r="L5" s="1615"/>
      <c r="M5" s="1615"/>
      <c r="N5" s="1615"/>
      <c r="O5" s="1615"/>
      <c r="P5" s="1615"/>
      <c r="Q5" s="1615"/>
      <c r="R5" s="1615"/>
      <c r="S5" s="1615"/>
      <c r="T5" s="1615"/>
      <c r="U5" s="1615"/>
      <c r="V5" s="1614">
        <v>5</v>
      </c>
    </row>
    <row customHeight="1" ht="29.25">
      <c r="C6" s="1517"/>
      <c r="D6" s="2238" t="s">
        <v>401</v>
      </c>
      <c r="E6" s="2238"/>
      <c r="F6" s="2238"/>
      <c r="G6" s="2238"/>
      <c r="H6" s="2238"/>
      <c r="I6" s="2238"/>
      <c r="J6" s="492"/>
      <c r="K6" s="1616"/>
      <c r="V6" s="1608">
        <v>28</v>
      </c>
    </row>
    <row customHeight="1" ht="18">
      <c r="C7" s="1517"/>
      <c r="D7" s="2177" t="str">
        <f>IF(org=0,"Не определено",org)</f>
        <v>ПАО "КГК"</v>
      </c>
      <c r="E7" s="2177"/>
      <c r="F7" s="2177"/>
      <c r="G7" s="2177"/>
      <c r="H7" s="2177"/>
      <c r="I7" s="2177"/>
      <c r="J7" s="492"/>
      <c r="K7" s="1616"/>
      <c r="V7" s="1608">
        <v>17</v>
      </c>
    </row>
    <row s="1613" customFormat="1" customHeight="1" ht="5.25">
      <c r="A8" s="1612"/>
      <c r="C8" s="487"/>
      <c r="D8" s="486"/>
      <c r="E8" s="486"/>
      <c r="F8" s="486"/>
      <c r="G8" s="486"/>
      <c r="H8" s="486"/>
      <c r="I8" s="486"/>
      <c r="J8" s="486"/>
      <c r="L8" s="1615"/>
      <c r="M8" s="1615"/>
      <c r="N8" s="1615"/>
      <c r="O8" s="1615"/>
      <c r="P8" s="1615"/>
      <c r="Q8" s="1615"/>
      <c r="R8" s="1615"/>
      <c r="S8" s="1615"/>
      <c r="T8" s="1615"/>
      <c r="U8" s="1615"/>
      <c r="V8" s="1613">
        <v>5</v>
      </c>
    </row>
    <row s="1613" customFormat="1" customHeight="1" ht="5.25">
      <c r="A9" s="1612"/>
      <c r="C9" s="487"/>
      <c r="D9" s="486"/>
      <c r="E9" s="486"/>
      <c r="F9" s="486"/>
      <c r="G9" s="486"/>
      <c r="H9" s="486"/>
      <c r="I9" s="486"/>
      <c r="J9" s="486"/>
      <c r="L9" s="1623"/>
      <c r="M9" s="1623"/>
      <c r="N9" s="1623"/>
      <c r="O9" s="1623"/>
      <c r="P9" s="1623"/>
      <c r="Q9" s="1623"/>
      <c r="R9" s="1623"/>
      <c r="S9" s="1623"/>
      <c r="T9" s="1623"/>
      <c r="U9" s="1623"/>
      <c r="V9" s="1613">
        <v>5</v>
      </c>
    </row>
    <row customHeight="1" ht="14.699999999999998">
      <c r="C10" s="1517"/>
      <c r="D10" s="2219" t="s">
        <v>317</v>
      </c>
      <c r="E10" s="2220"/>
      <c r="F10" s="2220"/>
      <c r="G10" s="2220"/>
      <c r="H10" s="2220"/>
      <c r="I10" s="2220"/>
      <c r="J10" s="2224" t="s">
        <v>318</v>
      </c>
      <c r="V10" s="1608">
        <v>14</v>
      </c>
    </row>
    <row customHeight="1" ht="27.299999999999997">
      <c r="C11" s="1517"/>
      <c r="D11" s="2128" t="s">
        <v>89</v>
      </c>
      <c r="E11" s="2224" t="s">
        <v>114</v>
      </c>
      <c r="F11" s="2193" t="s">
        <v>89</v>
      </c>
      <c r="G11" s="2194"/>
      <c r="H11" s="2176" t="s">
        <v>402</v>
      </c>
      <c r="I11" s="2176" t="s">
        <v>403</v>
      </c>
      <c r="J11" s="2224"/>
      <c r="V11" s="1608">
        <v>26</v>
      </c>
    </row>
    <row customHeight="1" ht="14.699999999999998">
      <c r="C12" s="1517"/>
      <c r="D12" s="2128"/>
      <c r="E12" s="2224"/>
      <c r="F12" s="2201"/>
      <c r="G12" s="2202"/>
      <c r="H12" s="2233"/>
      <c r="I12" s="2233"/>
      <c r="J12" s="2224"/>
      <c r="V12" s="1608">
        <v>14</v>
      </c>
    </row>
    <row s="1642" customFormat="1" customHeight="1" ht="11.25" hidden="1">
      <c r="C13" s="499"/>
      <c r="D13" s="500" t="s">
        <v>393</v>
      </c>
      <c r="E13" s="500"/>
      <c r="F13" s="500"/>
      <c r="G13" s="500"/>
      <c r="H13" s="498"/>
      <c r="I13" s="498"/>
      <c r="J13" s="436"/>
      <c r="L13" s="1615"/>
      <c r="M13" s="1615"/>
      <c r="N13" s="1615"/>
      <c r="O13" s="1615"/>
      <c r="P13" s="1615"/>
      <c r="Q13" s="1615"/>
      <c r="R13" s="1615"/>
      <c r="S13" s="1615"/>
      <c r="T13" s="1615"/>
      <c r="U13" s="1615"/>
      <c r="V13" s="497">
        <v>0</v>
      </c>
    </row>
    <row customHeight="1" ht="14.699999999999998">
      <c r="A14" s="1608"/>
      <c r="C14" s="1517"/>
      <c r="D14" s="2234" t="s">
        <v>118</v>
      </c>
      <c r="E14" s="2236"/>
      <c r="F14" s="1618"/>
      <c r="G14" s="1617" t="s">
        <v>118</v>
      </c>
      <c r="H14" s="1624"/>
      <c r="I14" s="1622"/>
      <c r="J14" s="2170" t="s">
        <v>404</v>
      </c>
      <c r="K14" s="1608"/>
      <c r="R14" s="501" t="s">
        <v>398</v>
      </c>
      <c r="S14" s="501" t="s">
        <v>398</v>
      </c>
      <c r="V14" s="1608">
        <v>14</v>
      </c>
    </row>
    <row customHeight="1" ht="14.699999999999998">
      <c r="A15" s="1608"/>
      <c r="C15" s="1517"/>
      <c r="D15" s="2235"/>
      <c r="E15" s="2237"/>
      <c r="F15" s="406"/>
      <c r="G15" s="870"/>
      <c r="H15" s="870" t="s">
        <v>400</v>
      </c>
      <c r="I15" s="314"/>
      <c r="J15" s="2171"/>
      <c r="K15" s="1608"/>
      <c r="R15" s="501"/>
      <c r="S15" s="501"/>
      <c r="V15" s="1608">
        <v>14</v>
      </c>
    </row>
    <row customHeight="1" ht="14.699999999999998">
      <c r="A16" s="1608"/>
      <c r="C16" s="1517"/>
      <c r="D16" s="406"/>
      <c r="E16" s="870" t="s">
        <v>129</v>
      </c>
      <c r="F16" s="314"/>
      <c r="G16" s="314"/>
      <c r="H16" s="407"/>
      <c r="I16" s="407"/>
      <c r="J16" s="2172"/>
      <c r="K16" s="1608"/>
      <c r="V16" s="1608">
        <v>14</v>
      </c>
    </row>
    <row customHeight="1" ht="14.699999999999998">
      <c r="K17" s="1608"/>
      <c r="V17" s="1608">
        <v>14</v>
      </c>
    </row>
    <row customHeight="1" ht="22.5" hidden="1">
      <c r="A18" s="1609" t="s">
        <v>83</v>
      </c>
      <c r="B18" s="1608">
        <v>0</v>
      </c>
      <c r="C18" s="452">
        <v>3</v>
      </c>
      <c r="D18" s="1608">
        <v>5</v>
      </c>
      <c r="E18" s="1608">
        <v>38</v>
      </c>
      <c r="F18" s="1608">
        <v>3</v>
      </c>
      <c r="G18" s="1608">
        <v>3</v>
      </c>
      <c r="H18" s="1608">
        <v>38</v>
      </c>
      <c r="I18" s="1608">
        <v>35</v>
      </c>
      <c r="J18" s="1608">
        <v>103</v>
      </c>
      <c r="K18" s="1610">
        <v>3</v>
      </c>
      <c r="L18" s="1615">
        <v>10</v>
      </c>
      <c r="M18" s="1615">
        <v>10</v>
      </c>
      <c r="N18" s="1615">
        <v>10</v>
      </c>
      <c r="O18" s="1615">
        <v>13</v>
      </c>
      <c r="P18" s="1615">
        <v>15</v>
      </c>
      <c r="Q18" s="1615">
        <v>16</v>
      </c>
      <c r="R18" s="1615">
        <v>10</v>
      </c>
      <c r="S18" s="1615">
        <v>10</v>
      </c>
      <c r="T18" s="1615">
        <v>10</v>
      </c>
      <c r="U18" s="1615">
        <v>10</v>
      </c>
      <c r="V18" s="1608">
        <v>23</v>
      </c>
    </row>
  </sheetData>
  <sheetProtection formatColumns="0" formatRows="0" autoFilter="0" sort="0" insertRows="0" insertColumns="1" deleteRows="0" deleteColumns="0"/>
  <mergeCells count="15">
    <mergeCell ref="H1:I1"/>
    <mergeCell ref="D6:I6"/>
    <mergeCell ref="D7:I7"/>
    <mergeCell ref="D2:D3"/>
    <mergeCell ref="E2:E3"/>
    <mergeCell ref="J14:J16"/>
    <mergeCell ref="D10:I10"/>
    <mergeCell ref="J10:J12"/>
    <mergeCell ref="D11:D12"/>
    <mergeCell ref="E11:E12"/>
    <mergeCell ref="F11:G12"/>
    <mergeCell ref="H11:H12"/>
    <mergeCell ref="I11:I12"/>
    <mergeCell ref="D14:D15"/>
    <mergeCell ref="E14:E15"/>
  </mergeCells>
  <dataValidations count="5">
    <dataValidation type="textLength" operator="lessThanOrEqual" allowBlank="1" showInputMessage="1" showErrorMessage="1" errorTitle="Ошибка" error="Допускается ввод не более 900 символов!" sqref="H14 H2">
      <formula1>900</formula1>
    </dataValidation>
    <dataValidation allowBlank="1" showErrorMessage="1" errorTitle="Ошибка" error="Допускается ввод только неотрицательных чисел!" sqref="E13:G13"/>
    <dataValidation type="decimal" allowBlank="1" showErrorMessage="1" errorTitle="Ошибка" error="Допускается ввод только неотрицательных чисел!" sqref="H13:I13">
      <formula1>0</formula1>
      <formula2>9.99999999999999E+23</formula2>
    </dataValidation>
    <dataValidation allowBlank="1" showInputMessage="1" showErrorMessage="1" prompt="Выберите один или несколько одновременно видов деятельности, выполнив последовательно по одному щелчку на строке с видом деятельности" sqref="E14 E2"/>
    <dataValidation type="whole" allowBlank="1" showErrorMessage="1" errorTitle="Ошибка" error="Допускается ввод только неотрицательных целых чисел!" sqref="I14 I2">
      <formula1>0</formula1>
      <formula2>9.99999999999999E+23</formula2>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1</vt:i4>
      </vt:variant>
      <vt:variant>
        <vt:lpstr>Именованные диапазоны</vt:lpstr>
      </vt:variant>
      <vt:variant>
        <vt:i4>2199</vt:i4>
      </vt:variant>
    </vt:vector>
  </HeadingPairs>
  <TitlesOfParts>
    <vt:vector size="2200" baseType="lpstr">
      <vt:lpstr>Инструкция</vt:lpstr>
      <vt:lpstr>B_FHD_CHECK_INDEX_1</vt:lpstr>
      <vt:lpstr>B_FHD_CHECK_INDEX_2</vt:lpstr>
      <vt:lpstr>B_FHD_COSTS_INDEX_1</vt:lpstr>
      <vt:lpstr>B_FHD_COSTS_INDEX_2</vt:lpstr>
      <vt:lpstr>B_FHD_DATA_TOP80_ACTIVITY</vt:lpstr>
      <vt:lpstr>B_FHD_diff_1</vt:lpstr>
      <vt:lpstr>B_FHD_FLAG_DIFFERENTIATION</vt:lpstr>
      <vt:lpstr>B_FHD_FLAG_INDEX_1</vt:lpstr>
      <vt:lpstr>B_FHD_FLAG_INDEX_2</vt:lpstr>
      <vt:lpstr>B_FHD_TKO_DATA_TOP80_ACTIVITY</vt:lpstr>
      <vt:lpstr>B_FHD_TKO_diff_1</vt:lpstr>
      <vt:lpstr>B_FHD_TKO_FLAG_DIFFERENTIATION</vt:lpstr>
      <vt:lpstr>B_FHD_TKO_TRANS_DATA_TOP80_ACTIVITY</vt:lpstr>
      <vt:lpstr>B_FHD_TKO_TRANS_diff_1</vt:lpstr>
      <vt:lpstr>B_FHD_TKO_TRANS_FLAG_DIFFERENTIATION</vt:lpstr>
      <vt:lpstr>B_FHD20_ADD_HL_2_COLUMN_MARKER</vt:lpstr>
      <vt:lpstr>B_FHD20_ADD_HL_3_COLUMN_MARKER</vt:lpstr>
      <vt:lpstr>B_FHD20_ADD_HL_4_COLUMN_MARKER</vt:lpstr>
      <vt:lpstr>B_FHD20_ALL_DATA</vt:lpstr>
      <vt:lpstr>B_FHD20_COSTS_OPS_diff_1</vt:lpstr>
      <vt:lpstr>B_FHD20_COSTS_PH_diff_1</vt:lpstr>
      <vt:lpstr>B_FHD20_DEL_HL_2_COLUMN_MARKER</vt:lpstr>
      <vt:lpstr>B_FHD20_DEL_HL_3_COLUMN_MARKER</vt:lpstr>
      <vt:lpstr>B_FHD20_DEL_HL_4_COLUMN_MARKER</vt:lpstr>
      <vt:lpstr>B_FHD20_diff_1</vt:lpstr>
      <vt:lpstr>B_FHD20_FLAG_FHD</vt:lpstr>
      <vt:lpstr>B_FHD20_NUMBER_COLUMN_MARKER</vt:lpstr>
      <vt:lpstr>B_FHD20_PART_COLUMN_MARKER</vt:lpstr>
      <vt:lpstr>B_KNE_diff_1</vt:lpstr>
      <vt:lpstr>B_OTEP_diff_1</vt:lpstr>
      <vt:lpstr>B_OTEP_FLAG_DIFFERENTIATION</vt:lpstr>
      <vt:lpstr>B_OTEP_HEAT_DATA_TOP80_ACTIVITY</vt:lpstr>
      <vt:lpstr>BLOCK_BALANCE_INDICATORS</vt:lpstr>
      <vt:lpstr>BLOCK_BALANCE_TKO_FLAG_TRANS</vt:lpstr>
      <vt:lpstr>BLOCK_CONNECTION_STATE</vt:lpstr>
      <vt:lpstr>BLOCK_DIFF_CS</vt:lpstr>
      <vt:lpstr>BLOCK_DIFFERENTIATION_NOT_TKO</vt:lpstr>
      <vt:lpstr>BLOCK_FIRST_TARIFF</vt:lpstr>
      <vt:lpstr>BLOCK_FIRST_TARIFF_OREG_PUBL</vt:lpstr>
      <vt:lpstr>BLOCK_IP_DETAILED_FACT_IST_FIN</vt:lpstr>
      <vt:lpstr>BLOCK_IP_DETAILED_FACT_PERIOD_EVENT</vt:lpstr>
      <vt:lpstr>BLOCK_MAIN_INFO_HEAT</vt:lpstr>
      <vt:lpstr>BLOCK_MAIN_INFO_NOT_TKO</vt:lpstr>
      <vt:lpstr>BLOCK_MAIN_INFO_OBJECT_COLDVSNA</vt:lpstr>
      <vt:lpstr>BLOCK_MAIN_INFO_OBJECT_COMM_COLDVSNA</vt:lpstr>
      <vt:lpstr>BLOCK_MAIN_INFO_OBJECT_COMM_HEAT</vt:lpstr>
      <vt:lpstr>BLOCK_MAIN_INFO_OBJECT_COMM_HOTVSNA</vt:lpstr>
      <vt:lpstr>BLOCK_MAIN_INFO_OBJECT_COMM_VOTV</vt:lpstr>
      <vt:lpstr>BLOCK_MAIN_INFO_OBJECT_HEAT</vt:lpstr>
      <vt:lpstr>BLOCK_MAIN_INFO_OBJECT_HOTVSNA</vt:lpstr>
      <vt:lpstr>BLOCK_MAIN_INFO_OBJECT_VOTV</vt:lpstr>
      <vt:lpstr>BLOCK_NOT_ROIV_INDICATORS_1</vt:lpstr>
      <vt:lpstr>BLOCK_NOT_ROIV_INDICATORS_2</vt:lpstr>
      <vt:lpstr>BLOCK_NOT_ROIV_INDICATORS_3</vt:lpstr>
      <vt:lpstr>BLOCK_NOTE_P_TARIFF_A</vt:lpstr>
      <vt:lpstr>BLOCK_NOTE_P_TARIFF_A_COLDVSNA</vt:lpstr>
      <vt:lpstr>BLOCK_NOTE_P_TARIFF_A_HOTVSNA</vt:lpstr>
      <vt:lpstr>BLOCK_NOTE_P_TARIFF_A_VOTV</vt:lpstr>
      <vt:lpstr>BLOCK_NOTE_P_TARIFF_B</vt:lpstr>
      <vt:lpstr>BLOCK_NOTE_P_TARIFF_B_COLDVSNA</vt:lpstr>
      <vt:lpstr>BLOCK_NOTE_P_TARIFF_B_HOTVSNA</vt:lpstr>
      <vt:lpstr>BLOCK_NOTE_P_TARIFF_B_VOTV</vt:lpstr>
      <vt:lpstr>BLOCK_NOTE_P_TARIFF_C</vt:lpstr>
      <vt:lpstr>BLOCK_NOTE_P_TARIFF_C_COLDVSNA</vt:lpstr>
      <vt:lpstr>BLOCK_NOTE_P_TARIFF_C_HOTVSNA</vt:lpstr>
      <vt:lpstr>BLOCK_NOTE_P_TARIFF_C_VOTV</vt:lpstr>
      <vt:lpstr>BLOCK_NOTE_P_TARIFF_D</vt:lpstr>
      <vt:lpstr>BLOCK_NOTE_P_TARIFF_D_COLDVSNA</vt:lpstr>
      <vt:lpstr>BLOCK_NOTE_P_TARIFF_E_COLDVSNA</vt:lpstr>
      <vt:lpstr>BLOCK_NOTE_P_TARIFF_E1</vt:lpstr>
      <vt:lpstr>BLOCK_NOTE_P_TARIFF_E2</vt:lpstr>
      <vt:lpstr>BLOCK_NOTE_P_TARIFF_F</vt:lpstr>
      <vt:lpstr>BLOCK_NOTE_P_TARIFF_G</vt:lpstr>
      <vt:lpstr>BLOCK_NOTE_P_TARIFF_H</vt:lpstr>
      <vt:lpstr>BLOCK_NOTE_P_TARIFF_I</vt:lpstr>
      <vt:lpstr>BLOCK_NOTE_P_TARIFF_I_1</vt:lpstr>
      <vt:lpstr>BLOCK_NOTE_R_TARIFF_A</vt:lpstr>
      <vt:lpstr>BLOCK_NOTE_R_TARIFF_A_COLDVSNA</vt:lpstr>
      <vt:lpstr>BLOCK_NOTE_R_TARIFF_A_HOTVSNA</vt:lpstr>
      <vt:lpstr>BLOCK_NOTE_R_TARIFF_A_VOTV</vt:lpstr>
      <vt:lpstr>BLOCK_NOTE_R_TARIFF_B</vt:lpstr>
      <vt:lpstr>BLOCK_NOTE_R_TARIFF_B_COLDVSNA</vt:lpstr>
      <vt:lpstr>BLOCK_NOTE_R_TARIFF_B_HOTVSNA</vt:lpstr>
      <vt:lpstr>BLOCK_NOTE_R_TARIFF_B_VOTV</vt:lpstr>
      <vt:lpstr>BLOCK_NOTE_R_TARIFF_C</vt:lpstr>
      <vt:lpstr>BLOCK_NOTE_R_TARIFF_C_COLDVSNA</vt:lpstr>
      <vt:lpstr>BLOCK_NOTE_R_TARIFF_C_HOTVSNA</vt:lpstr>
      <vt:lpstr>BLOCK_NOTE_R_TARIFF_C_VOTV</vt:lpstr>
      <vt:lpstr>BLOCK_NOTE_R_TARIFF_D</vt:lpstr>
      <vt:lpstr>BLOCK_NOTE_R_TARIFF_D_COLDVSNA</vt:lpstr>
      <vt:lpstr>BLOCK_NOTE_R_TARIFF_E_COLDVSNA</vt:lpstr>
      <vt:lpstr>BLOCK_NOTE_R_TARIFF_E1</vt:lpstr>
      <vt:lpstr>BLOCK_NOTE_R_TARIFF_E2</vt:lpstr>
      <vt:lpstr>BLOCK_NOTE_R_TARIFF_F</vt:lpstr>
      <vt:lpstr>BLOCK_NOTE_R_TARIFF_G</vt:lpstr>
      <vt:lpstr>BLOCK_NOTE_R_TARIFF_H</vt:lpstr>
      <vt:lpstr>BLOCK_NOTE_R_TARIFF_I</vt:lpstr>
      <vt:lpstr>BLOCK_NOTE_R_TARIFF_I_1</vt:lpstr>
      <vt:lpstr>BLOCK_PERIOD_DATA</vt:lpstr>
      <vt:lpstr>BLOCK_PERIOD_QUARTER</vt:lpstr>
      <vt:lpstr>BLOCK_PERIOD_TWO_DATA</vt:lpstr>
      <vt:lpstr>BLOCK_PERIOD_YEAR</vt:lpstr>
      <vt:lpstr>BLOCK_POK_FHD_COLDVSNA_P1</vt:lpstr>
      <vt:lpstr>BLOCK_POK_FHD_COLDVSNA_P2</vt:lpstr>
      <vt:lpstr>BLOCK_POK_FHD_HEAT_ONLY_REG_ORG_P1</vt:lpstr>
      <vt:lpstr>BLOCK_POK_FHD_HEAT_ONLY_REG_ORG_P2</vt:lpstr>
      <vt:lpstr>BLOCK_POK_FHD_HEAT_P1</vt:lpstr>
      <vt:lpstr>BLOCK_POK_FHD_HEAT_P2</vt:lpstr>
      <vt:lpstr>BLOCK_POK_FHD_HEAT_P3</vt:lpstr>
      <vt:lpstr>BLOCK_POK_FHD_HEAT_P4</vt:lpstr>
      <vt:lpstr>BLOCK_POK_FHD_HEAT_P5</vt:lpstr>
      <vt:lpstr>BLOCK_POK_FHD_HEAT_P6</vt:lpstr>
      <vt:lpstr>BLOCK_POK_FHD_HOTVSNA_P1</vt:lpstr>
      <vt:lpstr>BLOCK_POK_FHD_HOTVSNA_P2</vt:lpstr>
      <vt:lpstr>BLOCK_POK_FHD_NOT_HEAT_P1</vt:lpstr>
      <vt:lpstr>BLOCK_POK_FHD_NOT_HEAT_P2</vt:lpstr>
      <vt:lpstr>BLOCK_POK_FHD_NOT_HOTVSNA</vt:lpstr>
      <vt:lpstr>BLOCK_POK_FHD_VOTV_P1</vt:lpstr>
      <vt:lpstr>BLOCK_POK_FHD_VSNA</vt:lpstr>
      <vt:lpstr>BLOCK_POK_FHD20_NOT_HEAT</vt:lpstr>
      <vt:lpstr>BLOCK_POK_KNE_COLDVSNA</vt:lpstr>
      <vt:lpstr>BLOCK_POK_KNE_HEAT</vt:lpstr>
      <vt:lpstr>BLOCK_POK_KNE_HOTVSNA</vt:lpstr>
      <vt:lpstr>BLOCK_POK_KNE_VOTV</vt:lpstr>
      <vt:lpstr>BLOCK_PRICE_INDICATORS_HEAT</vt:lpstr>
      <vt:lpstr>BLOCK_PRICE_INDICATORS_LEVEL</vt:lpstr>
      <vt:lpstr>BLOCK_PRICE_IST_TE</vt:lpstr>
      <vt:lpstr>BLOCK_PRICE_REQUEST</vt:lpstr>
      <vt:lpstr>BLOCK_PT_COLDVSNA</vt:lpstr>
      <vt:lpstr>BLOCK_PT_HEAT</vt:lpstr>
      <vt:lpstr>BLOCK_PT_HEAT_NOT_R</vt:lpstr>
      <vt:lpstr>BLOCK_PT_HEAT_NOT_R_TMP</vt:lpstr>
      <vt:lpstr>BLOCK_PT_HEAT_PHEAT</vt:lpstr>
      <vt:lpstr>BLOCK_PT_HEAT_PHEAT_HIDDEN_FORMULAS</vt:lpstr>
      <vt:lpstr>BLOCK_PT_HEAT_RHEAT</vt:lpstr>
      <vt:lpstr>BLOCK_PT_HEAT_RHEAT_HIDDEN_FORMULAS</vt:lpstr>
      <vt:lpstr>BLOCK_PT_HOTVSNA</vt:lpstr>
      <vt:lpstr>BLOCK_PT_VOTV</vt:lpstr>
      <vt:lpstr>BLOCK_TABLE_P_TARIFF_A</vt:lpstr>
      <vt:lpstr>BLOCK_TABLE_P_TARIFF_A_COLDVSNA</vt:lpstr>
      <vt:lpstr>BLOCK_TABLE_P_TARIFF_A_HOTVSNA</vt:lpstr>
      <vt:lpstr>BLOCK_TABLE_P_TARIFF_A_VOTV</vt:lpstr>
      <vt:lpstr>BLOCK_TABLE_P_TARIFF_B</vt:lpstr>
      <vt:lpstr>BLOCK_TABLE_P_TARIFF_B_COLDVSNA</vt:lpstr>
      <vt:lpstr>BLOCK_TABLE_P_TARIFF_B_HOTVSNA</vt:lpstr>
      <vt:lpstr>BLOCK_TABLE_P_TARIFF_B_VOTV</vt:lpstr>
      <vt:lpstr>BLOCK_TABLE_P_TARIFF_C</vt:lpstr>
      <vt:lpstr>BLOCK_TABLE_P_TARIFF_C_COLDVSNA</vt:lpstr>
      <vt:lpstr>BLOCK_TABLE_P_TARIFF_C_HOTVSNA</vt:lpstr>
      <vt:lpstr>BLOCK_TABLE_P_TARIFF_C_VOTV</vt:lpstr>
      <vt:lpstr>BLOCK_TABLE_P_TARIFF_D</vt:lpstr>
      <vt:lpstr>BLOCK_TABLE_P_TARIFF_D_COLDVSNA</vt:lpstr>
      <vt:lpstr>BLOCK_TABLE_P_TARIFF_E_COLDVSNA</vt:lpstr>
      <vt:lpstr>BLOCK_TABLE_P_TARIFF_E1</vt:lpstr>
      <vt:lpstr>BLOCK_TABLE_P_TARIFF_E2</vt:lpstr>
      <vt:lpstr>BLOCK_TABLE_P_TARIFF_F</vt:lpstr>
      <vt:lpstr>BLOCK_TABLE_P_TARIFF_G</vt:lpstr>
      <vt:lpstr>BLOCK_TABLE_P_TARIFF_H</vt:lpstr>
      <vt:lpstr>BLOCK_TABLE_P_TARIFF_I</vt:lpstr>
      <vt:lpstr>BLOCK_TABLE_P_TARIFF_I_1</vt:lpstr>
      <vt:lpstr>BLOCK_TABLE_R_TARIFF_A</vt:lpstr>
      <vt:lpstr>BLOCK_TABLE_R_TARIFF_A_COLDVSNA</vt:lpstr>
      <vt:lpstr>BLOCK_TABLE_R_TARIFF_A_HOTVSNA</vt:lpstr>
      <vt:lpstr>BLOCK_TABLE_R_TARIFF_A_VOTV</vt:lpstr>
      <vt:lpstr>BLOCK_TABLE_R_TARIFF_B</vt:lpstr>
      <vt:lpstr>BLOCK_TABLE_R_TARIFF_B_COLDVSNA</vt:lpstr>
      <vt:lpstr>BLOCK_TABLE_R_TARIFF_B_HOTVSNA</vt:lpstr>
      <vt:lpstr>BLOCK_TABLE_R_TARIFF_B_VOTV</vt:lpstr>
      <vt:lpstr>BLOCK_TABLE_R_TARIFF_C</vt:lpstr>
      <vt:lpstr>BLOCK_TABLE_R_TARIFF_C_COLDVSNA</vt:lpstr>
      <vt:lpstr>BLOCK_TABLE_R_TARIFF_C_HOTVSNA</vt:lpstr>
      <vt:lpstr>BLOCK_TABLE_R_TARIFF_C_VOTV</vt:lpstr>
      <vt:lpstr>BLOCK_TABLE_R_TARIFF_D</vt:lpstr>
      <vt:lpstr>BLOCK_TABLE_R_TARIFF_D_COLDVSNA</vt:lpstr>
      <vt:lpstr>BLOCK_TABLE_R_TARIFF_E_COLDVSNA</vt:lpstr>
      <vt:lpstr>BLOCK_TABLE_R_TARIFF_E1</vt:lpstr>
      <vt:lpstr>BLOCK_TABLE_R_TARIFF_E2</vt:lpstr>
      <vt:lpstr>BLOCK_TABLE_R_TARIFF_F</vt:lpstr>
      <vt:lpstr>BLOCK_TABLE_R_TARIFF_G</vt:lpstr>
      <vt:lpstr>BLOCK_TABLE_R_TARIFF_H</vt:lpstr>
      <vt:lpstr>BLOCK_TABLE_R_TARIFF_I</vt:lpstr>
      <vt:lpstr>BLOCK_TABLE_R_TARIFF_I_1</vt:lpstr>
      <vt:lpstr>BLOCK_TEMPLATES_INVEST_TIT</vt:lpstr>
      <vt:lpstr>BLOCK_TERMS_HEAT_P1</vt:lpstr>
      <vt:lpstr>BLOCK_TERMS_NOT_TKO_P1</vt:lpstr>
      <vt:lpstr>BLOCK_TERMS_NOT_TKO_P2</vt:lpstr>
      <vt:lpstr>BLOCK_TERMS_TKO_TRANS</vt:lpstr>
      <vt:lpstr>BLOCK_TERRITORY_INFO</vt:lpstr>
      <vt:lpstr>BLOCK_TITLE_ROIV_INFO</vt:lpstr>
      <vt:lpstr>BLOCK_WARM_ORG_TYPE</vt:lpstr>
      <vt:lpstr>checkCell_List01</vt:lpstr>
      <vt:lpstr>checkCell_List07</vt:lpstr>
      <vt:lpstr>CLASS_TKO_LIST</vt:lpstr>
      <vt:lpstr>code</vt:lpstr>
      <vt:lpstr>CodeTemplateList</vt:lpstr>
      <vt:lpstr>COLDVSNA_FIN_SRC_LIST</vt:lpstr>
      <vt:lpstr>COLDVSNA_FIN_SRC_VLD_LIST</vt:lpstr>
      <vt:lpstr>COLDVSNA_IP_EVENT_CI_STAGE_LIST</vt:lpstr>
      <vt:lpstr>COLDVSNA_IP_EVENT_GROUP_LIST</vt:lpstr>
      <vt:lpstr>COLDVSNA_IP_EVENT_SUBGROUP_1_LIST</vt:lpstr>
      <vt:lpstr>COLDVSNA_IP_EVENT_SUBGROUP_3_LIST</vt:lpstr>
      <vt:lpstr>COLDVSNA_IP_EVENT_SUBGROUP_5_LIST</vt:lpstr>
      <vt:lpstr>COLDVSNA_IP_EVENT_TYPE_LIST</vt:lpstr>
      <vt:lpstr>COLDVSNA_PT_VED_ID</vt:lpstr>
      <vt:lpstr>COLDVSNA_PT_VED_NAME</vt:lpstr>
      <vt:lpstr>COLDVSNA_PT_VED_NAME_LIST</vt:lpstr>
      <vt:lpstr>COLDVSNA_TARIFF_A_COLDVSNA_ADD_HL_COLUMN_MARKER</vt:lpstr>
      <vt:lpstr>COLDVSNA_TARIFF_A_COLDVSNA_DEL_HL_DATA_DIFF_COLUMN_MARKER</vt:lpstr>
      <vt:lpstr>COLDVSNA_TARIFF_A_COLDVSNA_DEL_HL_FLAG_DIFF_COLUMN_MARKER</vt:lpstr>
      <vt:lpstr>COLDVSNA_TARIFF_A_COLDVSNA_DEL_HL_GC_COLUMN_MARKER</vt:lpstr>
      <vt:lpstr>COLDVSNA_TARIFF_A_COLDVSNA_DELETE_PERIOD_ROW_MARKER</vt:lpstr>
      <vt:lpstr>COLDVSNA_TARIFF_A_COLDVSNA_FLAG_BLOCK_COLUMN_MARKER</vt:lpstr>
      <vt:lpstr>COLDVSNA_TARIFF_A_COLDVSNA_FLAG_BLOCK_ROW_MARKER</vt:lpstr>
      <vt:lpstr>COLDVSNA_TARIFF_A_COLDVSNA_NUM_CS_COLUMN_MARKER</vt:lpstr>
      <vt:lpstr>COLDVSNA_TARIFF_A_COLDVSNA_NUM_DATA_DIFF_COLUMN_MARKER</vt:lpstr>
      <vt:lpstr>COLDVSNA_TARIFF_A_COLDVSNA_NUM_FLAG_DIFF_COLUMN_MARKER</vt:lpstr>
      <vt:lpstr>COLDVSNA_TARIFF_A_COLDVSNA_NUM_GC_COLUMN_MARKER</vt:lpstr>
      <vt:lpstr>COLDVSNA_TARIFF_A_COLDVSNA_NUM_NTAR_COLUMN_MARKER</vt:lpstr>
      <vt:lpstr>COLDVSNA_TARIFF_A_COLDVSNA_NUM_TER_COLUMN_MARKER</vt:lpstr>
      <vt:lpstr>COLDVSNA_TARIFF_B_COLDVSNA_ADD_HL_COLUMN_MARKER</vt:lpstr>
      <vt:lpstr>COLDVSNA_TARIFF_B_COLDVSNA_DEL_HL_DATA_DIFF_COLUMN_MARKER</vt:lpstr>
      <vt:lpstr>COLDVSNA_TARIFF_B_COLDVSNA_DEL_HL_FLAG_DIFF_COLUMN_MARKER</vt:lpstr>
      <vt:lpstr>COLDVSNA_TARIFF_B_COLDVSNA_DEL_HL_GC_COLUMN_MARKER</vt:lpstr>
      <vt:lpstr>COLDVSNA_TARIFF_B_COLDVSNA_DELETE_PERIOD_ROW_MARKER</vt:lpstr>
      <vt:lpstr>COLDVSNA_TARIFF_B_COLDVSNA_FLAG_BLOCK_COLUMN_MARKER</vt:lpstr>
      <vt:lpstr>COLDVSNA_TARIFF_B_COLDVSNA_FLAG_BLOCK_ROW_MARKER</vt:lpstr>
      <vt:lpstr>COLDVSNA_TARIFF_B_COLDVSNA_NUM_CS_COLUMN_MARKER</vt:lpstr>
      <vt:lpstr>COLDVSNA_TARIFF_B_COLDVSNA_NUM_DATA_DIFF_COLUMN_MARKER</vt:lpstr>
      <vt:lpstr>COLDVSNA_TARIFF_B_COLDVSNA_NUM_FLAG_DIFF_COLUMN_MARKER</vt:lpstr>
      <vt:lpstr>COLDVSNA_TARIFF_B_COLDVSNA_NUM_GC_COLUMN_MARKER</vt:lpstr>
      <vt:lpstr>COLDVSNA_TARIFF_B_COLDVSNA_NUM_NTAR_COLUMN_MARKER</vt:lpstr>
      <vt:lpstr>COLDVSNA_TARIFF_B_COLDVSNA_NUM_TER_COLUMN_MARKER</vt:lpstr>
      <vt:lpstr>COLDVSNA_TARIFF_C_COLDVSNA_ADD_HL_COLUMN_MARKER</vt:lpstr>
      <vt:lpstr>COLDVSNA_TARIFF_C_COLDVSNA_DEL_HL_DATA_DIFF_COLUMN_MARKER</vt:lpstr>
      <vt:lpstr>COLDVSNA_TARIFF_C_COLDVSNA_DEL_HL_FLAG_DIFF_COLUMN_MARKER</vt:lpstr>
      <vt:lpstr>COLDVSNA_TARIFF_C_COLDVSNA_DEL_HL_GC_COLUMN_MARKER</vt:lpstr>
      <vt:lpstr>COLDVSNA_TARIFF_C_COLDVSNA_DELETE_PERIOD_ROW_MARKER</vt:lpstr>
      <vt:lpstr>COLDVSNA_TARIFF_C_COLDVSNA_FLAG_BLOCK_COLUMN_MARKER</vt:lpstr>
      <vt:lpstr>COLDVSNA_TARIFF_C_COLDVSNA_FLAG_BLOCK_ROW_MARKER</vt:lpstr>
      <vt:lpstr>COLDVSNA_TARIFF_C_COLDVSNA_NUM_CS_COLUMN_MARKER</vt:lpstr>
      <vt:lpstr>COLDVSNA_TARIFF_C_COLDVSNA_NUM_DATA_DIFF_COLUMN_MARKER</vt:lpstr>
      <vt:lpstr>COLDVSNA_TARIFF_C_COLDVSNA_NUM_FLAG_DIFF_COLUMN_MARKER</vt:lpstr>
      <vt:lpstr>COLDVSNA_TARIFF_C_COLDVSNA_NUM_GC_COLUMN_MARKER</vt:lpstr>
      <vt:lpstr>COLDVSNA_TARIFF_C_COLDVSNA_NUM_NTAR_COLUMN_MARKER</vt:lpstr>
      <vt:lpstr>COLDVSNA_TARIFF_C_COLDVSNA_NUM_TER_COLUMN_MARKER</vt:lpstr>
      <vt:lpstr>COLDVSNA_TARIFF_D_COLDVSNA_ADD_HL_COLUMN_MARKER</vt:lpstr>
      <vt:lpstr>COLDVSNA_TARIFF_D_COLDVSNA_DEL_HL_DATA_DIFF_COLUMN_MARKER</vt:lpstr>
      <vt:lpstr>COLDVSNA_TARIFF_D_COLDVSNA_DEL_HL_FLAG_DIFF_COLUMN_MARKER</vt:lpstr>
      <vt:lpstr>COLDVSNA_TARIFF_D_COLDVSNA_DEL_HL_GC_COLUMN_MARKER</vt:lpstr>
      <vt:lpstr>COLDVSNA_TARIFF_D_COLDVSNA_DELETE_PERIOD_ROW_MARKER</vt:lpstr>
      <vt:lpstr>COLDVSNA_TARIFF_D_COLDVSNA_FLAG_BLOCK_COLUMN_MARKER</vt:lpstr>
      <vt:lpstr>COLDVSNA_TARIFF_D_COLDVSNA_FLAG_BLOCK_ROW_MARKER</vt:lpstr>
      <vt:lpstr>COLDVSNA_TARIFF_D_COLDVSNA_NUM_CS_COLUMN_MARKER</vt:lpstr>
      <vt:lpstr>COLDVSNA_TARIFF_D_COLDVSNA_NUM_DATA_DIFF_COLUMN_MARKER</vt:lpstr>
      <vt:lpstr>COLDVSNA_TARIFF_D_COLDVSNA_NUM_FLAG_DIFF_COLUMN_MARKER</vt:lpstr>
      <vt:lpstr>COLDVSNA_TARIFF_D_COLDVSNA_NUM_GC_COLUMN_MARKER</vt:lpstr>
      <vt:lpstr>COLDVSNA_TARIFF_D_COLDVSNA_NUM_NTAR_COLUMN_MARKER</vt:lpstr>
      <vt:lpstr>COLDVSNA_TARIFF_D_COLDVSNA_NUM_TER_COLUMN_MARKER</vt:lpstr>
      <vt:lpstr>COLDVSNA_TARIFF_E_COLDVSNA_ADD_HL_COLUMN_MARKER</vt:lpstr>
      <vt:lpstr>COLDVSNA_TARIFF_E_COLDVSNA_ADD_HL_DIAMETERS_COLUMN_MARKER</vt:lpstr>
      <vt:lpstr>COLDVSNA_TARIFF_E_COLDVSNA_ADD_HL_LEN_COLUMN_MARKER</vt:lpstr>
      <vt:lpstr>COLDVSNA_TARIFF_E_COLDVSNA_ADD_HL_LOAD_COLUMN_MARKER</vt:lpstr>
      <vt:lpstr>COLDVSNA_TARIFF_E_COLDVSNA_ADD_HL_NETS_COLUMN_MARKER</vt:lpstr>
      <vt:lpstr>COLDVSNA_TARIFF_E_COLDVSNA_DEL_HL_DATA_DIFF_COLUMN_MARKER</vt:lpstr>
      <vt:lpstr>COLDVSNA_TARIFF_E_COLDVSNA_DEL_HL_DIAMETERS_COLUMN_MARKER</vt:lpstr>
      <vt:lpstr>COLDVSNA_TARIFF_E_COLDVSNA_DEL_HL_FLAG_DIFF_COLUMN_MARKER</vt:lpstr>
      <vt:lpstr>COLDVSNA_TARIFF_E_COLDVSNA_DEL_HL_GC_COLUMN_MARKER</vt:lpstr>
      <vt:lpstr>COLDVSNA_TARIFF_E_COLDVSNA_DEL_HL_LEN_COLUMN_MARKER</vt:lpstr>
      <vt:lpstr>COLDVSNA_TARIFF_E_COLDVSNA_DEL_HL_LOAD_COLUMN_MARKER</vt:lpstr>
      <vt:lpstr>COLDVSNA_TARIFF_E_COLDVSNA_DEL_HL_NETS_COLUMN_MARKER</vt:lpstr>
      <vt:lpstr>COLDVSNA_TARIFF_E_COLDVSNA_DELETE_PERIOD_ROW_MARKER</vt:lpstr>
      <vt:lpstr>COLDVSNA_TARIFF_E_COLDVSNA_FLAG_BLOCK_COLUMN_MARKER</vt:lpstr>
      <vt:lpstr>COLDVSNA_TARIFF_E_COLDVSNA_FLAG_BLOCK_ROW_MARKER</vt:lpstr>
      <vt:lpstr>COLDVSNA_TARIFF_E_COLDVSNA_NUM_CS_COLUMN_MARKER</vt:lpstr>
      <vt:lpstr>COLDVSNA_TARIFF_E_COLDVSNA_NUM_DATA_DIFF_COLUMN_MARKER</vt:lpstr>
      <vt:lpstr>COLDVSNA_TARIFF_E_COLDVSNA_NUM_DIAMETERS_COLUMN_MARKER</vt:lpstr>
      <vt:lpstr>COLDVSNA_TARIFF_E_COLDVSNA_NUM_FLAG_DIFF_COLUMN_MARKER</vt:lpstr>
      <vt:lpstr>COLDVSNA_TARIFF_E_COLDVSNA_NUM_GC_COLUMN_MARKER</vt:lpstr>
      <vt:lpstr>COLDVSNA_TARIFF_E_COLDVSNA_NUM_LEN_COLUMN_MARKER</vt:lpstr>
      <vt:lpstr>COLDVSNA_TARIFF_E_COLDVSNA_NUM_LOAD_COLUMN_MARKER</vt:lpstr>
      <vt:lpstr>COLDVSNA_TARIFF_E_COLDVSNA_NUM_NETS_COLUMN_MARKER</vt:lpstr>
      <vt:lpstr>COLDVSNA_TARIFF_E_COLDVSNA_NUM_NTAR_COLUMN_MARKER</vt:lpstr>
      <vt:lpstr>COLDVSNA_TARIFF_E_COLDVSNA_NUM_TER_COLUMN_MARKER</vt:lpstr>
      <vt:lpstr>cross_without_borders</vt:lpstr>
      <vt:lpstr>CS_ID</vt:lpstr>
      <vt:lpstr>CURRENT_DATE</vt:lpstr>
      <vt:lpstr>CURRENT_YEAR</vt:lpstr>
      <vt:lpstr>DATA_URL</vt:lpstr>
      <vt:lpstr>DESCRIPTION_TERRITORY</vt:lpstr>
      <vt:lpstr>DIFFERENTIATION_AREA</vt:lpstr>
      <vt:lpstr>DIFFERENTIATION_AREA_ID</vt:lpstr>
      <vt:lpstr>DIFFERENTIATION_CheckC</vt:lpstr>
      <vt:lpstr>DIFFERENTIATION_fieldMarker</vt:lpstr>
      <vt:lpstr>DIFFERENTIATION_ID</vt:lpstr>
      <vt:lpstr>DIFFERENTIATION_ID_DIFF</vt:lpstr>
      <vt:lpstr>DIFFERENTIATION_SYSTEM</vt:lpstr>
      <vt:lpstr>DIFFERENTIATION_TARIFF_AREA_ID</vt:lpstr>
      <vt:lpstr>DIFFERENTIATION_TARIFF_VD_ID</vt:lpstr>
      <vt:lpstr>DIFFERENTIATION_TARIFF_VTAR_ID</vt:lpstr>
      <vt:lpstr>DIFFERENTIATION_TKO_ADD_HL_CLASS_TKO_COLUMN_MARKER</vt:lpstr>
      <vt:lpstr>DIFFERENTIATION_TKO_ADD_HL_NTAR_COLUMN_MARKER</vt:lpstr>
      <vt:lpstr>DIFFERENTIATION_TKO_ADD_HL_TER_COLUMN_MARKER</vt:lpstr>
      <vt:lpstr>DIFFERENTIATION_TKO_ADD_HL_TO_COLUMN_MARKER</vt:lpstr>
      <vt:lpstr>DIFFERENTIATION_TKO_ADD_HL_TYPE_TKO_COLUMN_MARKER</vt:lpstr>
      <vt:lpstr>DIFFERENTIATION_TKO_ADD_HL_VTAR_COLUMN_MARKER</vt:lpstr>
      <vt:lpstr>DIFFERENTIATION_TKO_AREA_ID</vt:lpstr>
      <vt:lpstr>DIFFERENTIATION_TKO_DEL_HL_CLASS_TKO_COLUMN_MARKER</vt:lpstr>
      <vt:lpstr>DIFFERENTIATION_TKO_DEL_HL_NTAR_COLUMN_MARKER</vt:lpstr>
      <vt:lpstr>DIFFERENTIATION_TKO_DEL_HL_TER_COLUMN_MARKER</vt:lpstr>
      <vt:lpstr>DIFFERENTIATION_TKO_DEL_HL_TO_COLUMN_MARKER</vt:lpstr>
      <vt:lpstr>DIFFERENTIATION_TKO_DEL_HL_TYPE_TKO_COLUMN_MARKER</vt:lpstr>
      <vt:lpstr>DIFFERENTIATION_TKO_FLAG_DIFF_CLASS_TKO_ETC_COLUMN_MARKER</vt:lpstr>
      <vt:lpstr>DIFFERENTIATION_TKO_FLAG_DIFF_CLASS_TKO_TARIFF_COLUMN_MARKER</vt:lpstr>
      <vt:lpstr>DIFFERENTIATION_TKO_FLAG_DIFF_TER_ETC_COLUMN_MARKER</vt:lpstr>
      <vt:lpstr>DIFFERENTIATION_TKO_FLAG_DIFF_TER_TARIFF_COLUMN_MARKER</vt:lpstr>
      <vt:lpstr>DIFFERENTIATION_TKO_FLAG_DIFF_TO_ETC_COLUMN_MARKER</vt:lpstr>
      <vt:lpstr>DIFFERENTIATION_TKO_FLAG_DIFF_TO_TARIFF_COLUMN_MARKER</vt:lpstr>
      <vt:lpstr>DIFFERENTIATION_TKO_FLAG_DIFF_TYPE_TKO_ETC_COLUMN_MARKER</vt:lpstr>
      <vt:lpstr>DIFFERENTIATION_TKO_FLAG_DIFF_TYPE_TKO_TARIFF_COLUMN_MARKER</vt:lpstr>
      <vt:lpstr>DIFFERENTIATION_TKO_FLAG_VTAR_COLUMN_MARKER</vt:lpstr>
      <vt:lpstr>DIFFERENTIATION_TKO_TER_ID</vt:lpstr>
      <vt:lpstr>DIFFERENTIATION_UNMERGE_AREA</vt:lpstr>
      <vt:lpstr>DIFFERENTIATION_UNMERGE_SYSTEM</vt:lpstr>
      <vt:lpstr>DIFFERENTIATION_UNMERGE_VD</vt:lpstr>
      <vt:lpstr>DIFFERENTIATION_VD</vt:lpstr>
      <vt:lpstr>DIFFERENTIATION_VD_ID</vt:lpstr>
      <vt:lpstr>ED_DATE</vt:lpstr>
      <vt:lpstr>ED_DATE_PARKING</vt:lpstr>
      <vt:lpstr>ED_LINK</vt:lpstr>
      <vt:lpstr>EndDateList</vt:lpstr>
      <vt:lpstr>et_B_FHD20_1</vt:lpstr>
      <vt:lpstr>et_B_FHD20_1_HEAT</vt:lpstr>
      <vt:lpstr>et_B_FHD20_1_NOT_HEAT</vt:lpstr>
      <vt:lpstr>et_B_FHD20_2</vt:lpstr>
      <vt:lpstr>et_B_FHD20_3</vt:lpstr>
      <vt:lpstr>et_B_FHD20_4</vt:lpstr>
      <vt:lpstr>et_B_STANDARTS</vt:lpstr>
      <vt:lpstr>et_CHANGE_INFO</vt:lpstr>
      <vt:lpstr>et_COLDVSNA_TARIFF_A_COLDVSNA_CS</vt:lpstr>
      <vt:lpstr>et_COLDVSNA_TARIFF_A_COLDVSNA_DATA_DIFF</vt:lpstr>
      <vt:lpstr>et_COLDVSNA_TARIFF_A_COLDVSNA_FLAG_DIFF</vt:lpstr>
      <vt:lpstr>et_COLDVSNA_TARIFF_A_COLDVSNA_GC</vt:lpstr>
      <vt:lpstr>et_COLDVSNA_TARIFF_A_COLDVSNA_NTAR</vt:lpstr>
      <vt:lpstr>et_COLDVSNA_TARIFF_A_COLDVSNA_PERIOD_COLOR</vt:lpstr>
      <vt:lpstr>et_COLDVSNA_TARIFF_A_COLDVSNA_PERIOD_NOT_COLOR</vt:lpstr>
      <vt:lpstr>et_COLDVSNA_TARIFF_A_COLDVSNA_TER</vt:lpstr>
      <vt:lpstr>et_COLDVSNA_TARIFF_A_COLDVSNA_TN</vt:lpstr>
      <vt:lpstr>et_COLDVSNA_TARIFF_B_COLDVSNA_CS</vt:lpstr>
      <vt:lpstr>et_COLDVSNA_TARIFF_B_COLDVSNA_DATA_DIFF</vt:lpstr>
      <vt:lpstr>et_COLDVSNA_TARIFF_B_COLDVSNA_FLAG_DIFF</vt:lpstr>
      <vt:lpstr>et_COLDVSNA_TARIFF_B_COLDVSNA_GC</vt:lpstr>
      <vt:lpstr>et_COLDVSNA_TARIFF_B_COLDVSNA_NTAR</vt:lpstr>
      <vt:lpstr>et_COLDVSNA_TARIFF_B_COLDVSNA_PERIOD_COLOR</vt:lpstr>
      <vt:lpstr>et_COLDVSNA_TARIFF_B_COLDVSNA_PERIOD_NOT_COLOR</vt:lpstr>
      <vt:lpstr>et_COLDVSNA_TARIFF_B_COLDVSNA_TER</vt:lpstr>
      <vt:lpstr>et_COLDVSNA_TARIFF_C_COLDVSNA_CS</vt:lpstr>
      <vt:lpstr>et_COLDVSNA_TARIFF_C_COLDVSNA_DATA_DIFF</vt:lpstr>
      <vt:lpstr>et_COLDVSNA_TARIFF_C_COLDVSNA_FLAG_DIFF</vt:lpstr>
      <vt:lpstr>et_COLDVSNA_TARIFF_C_COLDVSNA_GC</vt:lpstr>
      <vt:lpstr>et_COLDVSNA_TARIFF_C_COLDVSNA_NTAR</vt:lpstr>
      <vt:lpstr>et_COLDVSNA_TARIFF_C_COLDVSNA_PERIOD_COLOR</vt:lpstr>
      <vt:lpstr>et_COLDVSNA_TARIFF_C_COLDVSNA_PERIOD_NOT_COLOR</vt:lpstr>
      <vt:lpstr>et_COLDVSNA_TARIFF_C_COLDVSNA_TER</vt:lpstr>
      <vt:lpstr>et_COLDVSNA_TARIFF_D_COLDVSNA_CS</vt:lpstr>
      <vt:lpstr>et_COLDVSNA_TARIFF_D_COLDVSNA_DATA_DIFF</vt:lpstr>
      <vt:lpstr>et_COLDVSNA_TARIFF_D_COLDVSNA_FLAG_DIFF</vt:lpstr>
      <vt:lpstr>et_COLDVSNA_TARIFF_D_COLDVSNA_GC</vt:lpstr>
      <vt:lpstr>et_COLDVSNA_TARIFF_D_COLDVSNA_NTAR</vt:lpstr>
      <vt:lpstr>et_COLDVSNA_TARIFF_D_COLDVSNA_PERIOD_COLOR</vt:lpstr>
      <vt:lpstr>et_COLDVSNA_TARIFF_D_COLDVSNA_PERIOD_NOT_COLOR</vt:lpstr>
      <vt:lpstr>et_COLDVSNA_TARIFF_D_COLDVSNA_TER</vt:lpstr>
      <vt:lpstr>et_COLDVSNA_TARIFF_E_COLDVSNA_CS</vt:lpstr>
      <vt:lpstr>et_COLDVSNA_TARIFF_E_COLDVSNA_DATA_DIFF</vt:lpstr>
      <vt:lpstr>et_COLDVSNA_TARIFF_E_COLDVSNA_DIAMETERS</vt:lpstr>
      <vt:lpstr>et_COLDVSNA_TARIFF_E_COLDVSNA_FLAG_DIFF</vt:lpstr>
      <vt:lpstr>et_COLDVSNA_TARIFF_E_COLDVSNA_GC</vt:lpstr>
      <vt:lpstr>et_COLDVSNA_TARIFF_E_COLDVSNA_LEN</vt:lpstr>
      <vt:lpstr>et_COLDVSNA_TARIFF_E_COLDVSNA_LOAD</vt:lpstr>
      <vt:lpstr>et_COLDVSNA_TARIFF_E_COLDVSNA_NETS</vt:lpstr>
      <vt:lpstr>et_COLDVSNA_TARIFF_E_COLDVSNA_NTAR</vt:lpstr>
      <vt:lpstr>et_COLDVSNA_TARIFF_E_COLDVSNA_PERIOD_COLOR</vt:lpstr>
      <vt:lpstr>et_COLDVSNA_TARIFF_E_COLDVSNA_PERIOD_NOT_COLOR</vt:lpstr>
      <vt:lpstr>et_COLDVSNA_TARIFF_E_COLDVSNA_TER</vt:lpstr>
      <vt:lpstr>et_Comm</vt:lpstr>
      <vt:lpstr>et_DIFFERENTIATION_AREA</vt:lpstr>
      <vt:lpstr>et_DIFFERENTIATION_SYSTEM</vt:lpstr>
      <vt:lpstr>et_DIFFERENTIATION_TARIFF_COLOR</vt:lpstr>
      <vt:lpstr>et_DIFFERENTIATION_TARIFF_CS</vt:lpstr>
      <vt:lpstr>et_DIFFERENTIATION_TARIFF_IST_TE</vt:lpstr>
      <vt:lpstr>et_DIFFERENTIATION_TARIFF_NOT_COLOR</vt:lpstr>
      <vt:lpstr>et_DIFFERENTIATION_TARIFF_NOT_HEAT_COLOR</vt:lpstr>
      <vt:lpstr>et_DIFFERENTIATION_TARIFF_NOT_HEAT_CS</vt:lpstr>
      <vt:lpstr>et_DIFFERENTIATION_TARIFF_NOT_HEAT_NTAR</vt:lpstr>
      <vt:lpstr>et_DIFFERENTIATION_TARIFF_NOT_HEAT_TER</vt:lpstr>
      <vt:lpstr>et_DIFFERENTIATION_TARIFF_NOT_HEAT_VTAR</vt:lpstr>
      <vt:lpstr>et_DIFFERENTIATION_TARIFF_NTAR</vt:lpstr>
      <vt:lpstr>et_DIFFERENTIATION_TARIFF_TER</vt:lpstr>
      <vt:lpstr>et_DIFFERENTIATION_TARIFF_VTAR</vt:lpstr>
      <vt:lpstr>et_DIFFERENTIATION_TKO_CLASS_TKO</vt:lpstr>
      <vt:lpstr>et_DIFFERENTIATION_TKO_COLOR</vt:lpstr>
      <vt:lpstr>et_DIFFERENTIATION_TKO_NOT_COLOR</vt:lpstr>
      <vt:lpstr>et_DIFFERENTIATION_TKO_NTAR</vt:lpstr>
      <vt:lpstr>et_DIFFERENTIATION_TKO_TER</vt:lpstr>
      <vt:lpstr>et_DIFFERENTIATION_TKO_TO</vt:lpstr>
      <vt:lpstr>et_DIFFERENTIATION_TKO_TYPE_TKO</vt:lpstr>
      <vt:lpstr>et_DIFFERENTIATION_TKO_VTAR</vt:lpstr>
      <vt:lpstr>et_DIFFERENTIATION_VD</vt:lpstr>
      <vt:lpstr>et_ED</vt:lpstr>
      <vt:lpstr>et_HEAT_TARIFF_A_CS</vt:lpstr>
      <vt:lpstr>et_HEAT_TARIFF_A_GC</vt:lpstr>
      <vt:lpstr>et_HEAT_TARIFF_A_IST_TE</vt:lpstr>
      <vt:lpstr>et_HEAT_TARIFF_A_NTAR</vt:lpstr>
      <vt:lpstr>et_HEAT_TARIFF_A_PERIOD_COLOR</vt:lpstr>
      <vt:lpstr>et_HEAT_TARIFF_A_PERIOD_NOT_COLOR</vt:lpstr>
      <vt:lpstr>et_HEAT_TARIFF_A_SCHEME</vt:lpstr>
      <vt:lpstr>et_HEAT_TARIFF_A_TER</vt:lpstr>
      <vt:lpstr>et_HEAT_TARIFF_A_TN</vt:lpstr>
      <vt:lpstr>et_HEAT_TARIFF_B_CS</vt:lpstr>
      <vt:lpstr>et_HEAT_TARIFF_B_GC</vt:lpstr>
      <vt:lpstr>et_HEAT_TARIFF_B_IST_TE</vt:lpstr>
      <vt:lpstr>et_HEAT_TARIFF_B_NTAR</vt:lpstr>
      <vt:lpstr>et_HEAT_TARIFF_B_PERIOD_COLOR</vt:lpstr>
      <vt:lpstr>et_HEAT_TARIFF_B_PERIOD_NOT_COLOR</vt:lpstr>
      <vt:lpstr>et_HEAT_TARIFF_B_SCHEME</vt:lpstr>
      <vt:lpstr>et_HEAT_TARIFF_B_TER</vt:lpstr>
      <vt:lpstr>et_HEAT_TARIFF_B_TN</vt:lpstr>
      <vt:lpstr>et_HEAT_TARIFF_C_CS</vt:lpstr>
      <vt:lpstr>et_HEAT_TARIFF_C_GC</vt:lpstr>
      <vt:lpstr>et_HEAT_TARIFF_C_IST_TE</vt:lpstr>
      <vt:lpstr>et_HEAT_TARIFF_C_NTAR</vt:lpstr>
      <vt:lpstr>et_HEAT_TARIFF_C_PERIOD_COLOR</vt:lpstr>
      <vt:lpstr>et_HEAT_TARIFF_C_PERIOD_NOT_COLOR</vt:lpstr>
      <vt:lpstr>et_HEAT_TARIFF_C_SCHEME</vt:lpstr>
      <vt:lpstr>et_HEAT_TARIFF_C_TER</vt:lpstr>
      <vt:lpstr>et_HEAT_TARIFF_C_TN</vt:lpstr>
      <vt:lpstr>et_HEAT_TARIFF_D_CONS</vt:lpstr>
      <vt:lpstr>et_HEAT_TARIFF_D_CS</vt:lpstr>
      <vt:lpstr>et_HEAT_TARIFF_D_GC</vt:lpstr>
      <vt:lpstr>et_HEAT_TARIFF_D_IST_TE</vt:lpstr>
      <vt:lpstr>et_HEAT_TARIFF_D_NTAR</vt:lpstr>
      <vt:lpstr>et_HEAT_TARIFF_D_PERIOD_COLOR</vt:lpstr>
      <vt:lpstr>et_HEAT_TARIFF_D_PERIOD_NOT_COLOR</vt:lpstr>
      <vt:lpstr>et_HEAT_TARIFF_D_SCHEME</vt:lpstr>
      <vt:lpstr>et_HEAT_TARIFF_D_TER</vt:lpstr>
      <vt:lpstr>et_HEAT_TARIFF_D_TN</vt:lpstr>
      <vt:lpstr>et_HEAT_TARIFF_E1_CS</vt:lpstr>
      <vt:lpstr>et_HEAT_TARIFF_E1_GC</vt:lpstr>
      <vt:lpstr>et_HEAT_TARIFF_E1_IST_TE</vt:lpstr>
      <vt:lpstr>et_HEAT_TARIFF_E1_NTAR</vt:lpstr>
      <vt:lpstr>et_HEAT_TARIFF_E1_PERIOD_COLOR</vt:lpstr>
      <vt:lpstr>et_HEAT_TARIFF_E1_PERIOD_NOT_COLOR</vt:lpstr>
      <vt:lpstr>et_HEAT_TARIFF_E1_SCHEME</vt:lpstr>
      <vt:lpstr>et_HEAT_TARIFF_E1_TER</vt:lpstr>
      <vt:lpstr>et_HEAT_TARIFF_E1_TN</vt:lpstr>
      <vt:lpstr>et_HEAT_TARIFF_E2_CS</vt:lpstr>
      <vt:lpstr>et_HEAT_TARIFF_E2_GC</vt:lpstr>
      <vt:lpstr>et_HEAT_TARIFF_E2_IST_TE</vt:lpstr>
      <vt:lpstr>et_HEAT_TARIFF_E2_NTAR</vt:lpstr>
      <vt:lpstr>et_HEAT_TARIFF_E2_PERIOD_COLOR</vt:lpstr>
      <vt:lpstr>et_HEAT_TARIFF_E2_PERIOD_NOT_COLOR</vt:lpstr>
      <vt:lpstr>et_HEAT_TARIFF_E2_SCHEME</vt:lpstr>
      <vt:lpstr>et_HEAT_TARIFF_E2_TER</vt:lpstr>
      <vt:lpstr>et_HEAT_TARIFF_E2_TN</vt:lpstr>
      <vt:lpstr>et_HEAT_TARIFF_F_CS</vt:lpstr>
      <vt:lpstr>et_HEAT_TARIFF_F_GC</vt:lpstr>
      <vt:lpstr>et_HEAT_TARIFF_F_IST_TE</vt:lpstr>
      <vt:lpstr>et_HEAT_TARIFF_F_NTAR</vt:lpstr>
      <vt:lpstr>et_HEAT_TARIFF_F_PERIOD_COLOR</vt:lpstr>
      <vt:lpstr>et_HEAT_TARIFF_F_PERIOD_NOT_COLOR</vt:lpstr>
      <vt:lpstr>et_HEAT_TARIFF_F_SCHEME</vt:lpstr>
      <vt:lpstr>et_HEAT_TARIFF_F_TER</vt:lpstr>
      <vt:lpstr>et_HEAT_TARIFF_F_TN</vt:lpstr>
      <vt:lpstr>et_HEAT_TARIFF_G_CS</vt:lpstr>
      <vt:lpstr>et_HEAT_TARIFF_G_DIAMETERS</vt:lpstr>
      <vt:lpstr>et_HEAT_TARIFF_G_GC</vt:lpstr>
      <vt:lpstr>et_HEAT_TARIFF_G_IST_TE</vt:lpstr>
      <vt:lpstr>et_HEAT_TARIFF_G_LOAD</vt:lpstr>
      <vt:lpstr>et_HEAT_TARIFF_G_NETS</vt:lpstr>
      <vt:lpstr>et_HEAT_TARIFF_G_NTAR</vt:lpstr>
      <vt:lpstr>et_HEAT_TARIFF_G_PERIOD_COLOR</vt:lpstr>
      <vt:lpstr>et_HEAT_TARIFF_G_PERIOD_NOT_COLOR</vt:lpstr>
      <vt:lpstr>et_HEAT_TARIFF_G_SCHEME</vt:lpstr>
      <vt:lpstr>et_HEAT_TARIFF_G_TER</vt:lpstr>
      <vt:lpstr>et_HEAT_TARIFF_G_TN</vt:lpstr>
      <vt:lpstr>et_HEAT_TARIFF_H_CS</vt:lpstr>
      <vt:lpstr>et_HEAT_TARIFF_H_DIAMETERS</vt:lpstr>
      <vt:lpstr>et_HEAT_TARIFF_H_GC</vt:lpstr>
      <vt:lpstr>et_HEAT_TARIFF_H_IST_TE</vt:lpstr>
      <vt:lpstr>et_HEAT_TARIFF_H_LOAD</vt:lpstr>
      <vt:lpstr>et_HEAT_TARIFF_H_NETS</vt:lpstr>
      <vt:lpstr>et_HEAT_TARIFF_H_NTAR</vt:lpstr>
      <vt:lpstr>et_HEAT_TARIFF_H_PERIOD_COLOR</vt:lpstr>
      <vt:lpstr>et_HEAT_TARIFF_H_PERIOD_NOT_COLOR</vt:lpstr>
      <vt:lpstr>et_HEAT_TARIFF_H_SCHEME</vt:lpstr>
      <vt:lpstr>et_HEAT_TARIFF_H_TER</vt:lpstr>
      <vt:lpstr>et_HEAT_TARIFF_H_TN</vt:lpstr>
      <vt:lpstr>et_HEAT_TARIFF_I_1_CS</vt:lpstr>
      <vt:lpstr>et_HEAT_TARIFF_I_1_GC</vt:lpstr>
      <vt:lpstr>et_HEAT_TARIFF_I_1_IST_TE</vt:lpstr>
      <vt:lpstr>et_HEAT_TARIFF_I_1_NTAR</vt:lpstr>
      <vt:lpstr>et_HEAT_TARIFF_I_1_PERIOD_COLOR</vt:lpstr>
      <vt:lpstr>et_HEAT_TARIFF_I_1_PERIOD_NOT_COLOR</vt:lpstr>
      <vt:lpstr>et_HEAT_TARIFF_I_1_SCHEME</vt:lpstr>
      <vt:lpstr>et_HEAT_TARIFF_I_1_TER</vt:lpstr>
      <vt:lpstr>et_HEAT_TARIFF_I_1_TN</vt:lpstr>
      <vt:lpstr>et_HEAT_TARIFF_I_CS</vt:lpstr>
      <vt:lpstr>et_HEAT_TARIFF_I_GC</vt:lpstr>
      <vt:lpstr>et_HEAT_TARIFF_I_IST_TE</vt:lpstr>
      <vt:lpstr>et_HEAT_TARIFF_I_NTAR</vt:lpstr>
      <vt:lpstr>et_HEAT_TARIFF_I_PERIOD_COLOR</vt:lpstr>
      <vt:lpstr>et_HEAT_TARIFF_I_PERIOD_NOT_COLOR</vt:lpstr>
      <vt:lpstr>et_HEAT_TARIFF_I_SCHEME</vt:lpstr>
      <vt:lpstr>et_HEAT_TARIFF_I_TER</vt:lpstr>
      <vt:lpstr>et_HEAT_TARIFF_I_TN</vt:lpstr>
      <vt:lpstr>et_hor_B_FHD_1</vt:lpstr>
      <vt:lpstr>et_hor_B_FHD_2</vt:lpstr>
      <vt:lpstr>et_hor_B_FHD_3</vt:lpstr>
      <vt:lpstr>et_hor_B_FHD_4</vt:lpstr>
      <vt:lpstr>et_hor_B_FHD_5</vt:lpstr>
      <vt:lpstr>et_hor_B_FHD_6</vt:lpstr>
      <vt:lpstr>et_hor_B_FHD_TKO_2</vt:lpstr>
      <vt:lpstr>et_hor_B_FHD_TKO_TRANS_2</vt:lpstr>
      <vt:lpstr>et_hor_B_OTEP_2</vt:lpstr>
      <vt:lpstr>et_hor_Q_LIMIT_1</vt:lpstr>
      <vt:lpstr>et_hor_Q_LIMIT_2</vt:lpstr>
      <vt:lpstr>et_hor_Q_LIMIT_3</vt:lpstr>
      <vt:lpstr>et_hor_Q_LIMIT_4</vt:lpstr>
      <vt:lpstr>et_hor_Q_TP_1</vt:lpstr>
      <vt:lpstr>et_HOTVSNA_TARIFF_A_HOTVSNA_CS</vt:lpstr>
      <vt:lpstr>et_HOTVSNA_TARIFF_A_HOTVSNA_DATA_DIFF</vt:lpstr>
      <vt:lpstr>et_HOTVSNA_TARIFF_A_HOTVSNA_FLAG_DIFF</vt:lpstr>
      <vt:lpstr>et_HOTVSNA_TARIFF_A_HOTVSNA_GC</vt:lpstr>
      <vt:lpstr>et_HOTVSNA_TARIFF_A_HOTVSNA_NTAR</vt:lpstr>
      <vt:lpstr>et_HOTVSNA_TARIFF_A_HOTVSNA_PERIOD_COLOR</vt:lpstr>
      <vt:lpstr>et_HOTVSNA_TARIFF_A_HOTVSNA_PERIOD_NOT_COLOR</vt:lpstr>
      <vt:lpstr>et_HOTVSNA_TARIFF_A_HOTVSNA_TER</vt:lpstr>
      <vt:lpstr>et_HOTVSNA_TARIFF_A_HOTVSNA_TN</vt:lpstr>
      <vt:lpstr>et_HOTVSNA_TARIFF_B_HOTVSNA_CS</vt:lpstr>
      <vt:lpstr>et_HOTVSNA_TARIFF_B_HOTVSNA_DATA_DIFF</vt:lpstr>
      <vt:lpstr>et_HOTVSNA_TARIFF_B_HOTVSNA_FLAG_DIFF</vt:lpstr>
      <vt:lpstr>et_HOTVSNA_TARIFF_B_HOTVSNA_GC</vt:lpstr>
      <vt:lpstr>et_HOTVSNA_TARIFF_B_HOTVSNA_NTAR</vt:lpstr>
      <vt:lpstr>et_HOTVSNA_TARIFF_B_HOTVSNA_PERIOD_COLOR</vt:lpstr>
      <vt:lpstr>et_HOTVSNA_TARIFF_B_HOTVSNA_PERIOD_NOT_COLOR</vt:lpstr>
      <vt:lpstr>et_HOTVSNA_TARIFF_B_HOTVSNA_TER</vt:lpstr>
      <vt:lpstr>et_HOTVSNA_TARIFF_B_HOTVSNA_TN</vt:lpstr>
      <vt:lpstr>et_HOTVSNA_TARIFF_C_HOTVSNA_CS</vt:lpstr>
      <vt:lpstr>et_HOTVSNA_TARIFF_C_HOTVSNA_DATA_DIFF</vt:lpstr>
      <vt:lpstr>et_HOTVSNA_TARIFF_C_HOTVSNA_DIAMETERS</vt:lpstr>
      <vt:lpstr>et_HOTVSNA_TARIFF_C_HOTVSNA_FLAG_DIFF</vt:lpstr>
      <vt:lpstr>et_HOTVSNA_TARIFF_C_HOTVSNA_GC</vt:lpstr>
      <vt:lpstr>et_HOTVSNA_TARIFF_C_HOTVSNA_LEN</vt:lpstr>
      <vt:lpstr>et_HOTVSNA_TARIFF_C_HOTVSNA_LOAD</vt:lpstr>
      <vt:lpstr>et_HOTVSNA_TARIFF_C_HOTVSNA_NETS</vt:lpstr>
      <vt:lpstr>et_HOTVSNA_TARIFF_C_HOTVSNA_NTAR</vt:lpstr>
      <vt:lpstr>et_HOTVSNA_TARIFF_C_HOTVSNA_PERIOD_COLOR</vt:lpstr>
      <vt:lpstr>et_HOTVSNA_TARIFF_C_HOTVSNA_PERIOD_NOT_COLOR</vt:lpstr>
      <vt:lpstr>et_HOTVSNA_TARIFF_C_HOTVSNA_TER</vt:lpstr>
      <vt:lpstr>et_IP_DETAILED</vt:lpstr>
      <vt:lpstr>et_IP_DETAILED_EVENT</vt:lpstr>
      <vt:lpstr>et_IP_DETAILED_IST_FIN</vt:lpstr>
      <vt:lpstr>et_IP_DETAILED_OBJECT</vt:lpstr>
      <vt:lpstr>et_IP_DETAILED_YEAR</vt:lpstr>
      <vt:lpstr>et_IP_MAIN</vt:lpstr>
      <vt:lpstr>et_IP_MAIN_PROPERTY</vt:lpstr>
      <vt:lpstr>et_IP_QRE</vt:lpstr>
      <vt:lpstr>et_IP_QRE_CLAIM</vt:lpstr>
      <vt:lpstr>et_List02</vt:lpstr>
      <vt:lpstr>et_List02_1_wd</vt:lpstr>
      <vt:lpstr>et_List02_2_wd</vt:lpstr>
      <vt:lpstr>et_List02_3_wd</vt:lpstr>
      <vt:lpstr>et_List02_4_wd</vt:lpstr>
      <vt:lpstr>et_List02_changeColor_1</vt:lpstr>
      <vt:lpstr>et_List02_changeColor_1_wd</vt:lpstr>
      <vt:lpstr>et_List02_changeColor_2</vt:lpstr>
      <vt:lpstr>et_List02_changeColor_2_wd</vt:lpstr>
      <vt:lpstr>et_List02_changeColor_3</vt:lpstr>
      <vt:lpstr>et_List02_changeColor_3_wd</vt:lpstr>
      <vt:lpstr>et_List02_changeColor_4</vt:lpstr>
      <vt:lpstr>et_List02_changeColor_4_wd</vt:lpstr>
      <vt:lpstr>et_List02_wd</vt:lpstr>
      <vt:lpstr>et_OFFER_p1</vt:lpstr>
      <vt:lpstr>et_OFFER_p1_0</vt:lpstr>
      <vt:lpstr>et_OFFER_p2</vt:lpstr>
      <vt:lpstr>et_OFFER_p2_0</vt:lpstr>
      <vt:lpstr>et_ORG_INFO_1</vt:lpstr>
      <vt:lpstr>et_ORG_INFO_2</vt:lpstr>
      <vt:lpstr>et_ORG_INFO_3</vt:lpstr>
      <vt:lpstr>et_ORG_TERRITORY_MO</vt:lpstr>
      <vt:lpstr>et_ORG_TERRITORY_MO_FLAG_INTERNET</vt:lpstr>
      <vt:lpstr>et_ORG_TERRITORY_MO_LINK</vt:lpstr>
      <vt:lpstr>et_ORG_VD</vt:lpstr>
      <vt:lpstr>et_ORG_VD_COLDVSNA</vt:lpstr>
      <vt:lpstr>et_ORG_VD_FIRST_SYSTEM</vt:lpstr>
      <vt:lpstr>et_ORG_VD_HEAT</vt:lpstr>
      <vt:lpstr>et_ORG_VD_HOTVSNA</vt:lpstr>
      <vt:lpstr>et_ORG_VD_TKO_ACTIVITY</vt:lpstr>
      <vt:lpstr>et_ORG_VD_TKO_TYPE_OBJECT</vt:lpstr>
      <vt:lpstr>et_ORG_VD_VOTV</vt:lpstr>
      <vt:lpstr>et_P_PROCEDURE_TC_1</vt:lpstr>
      <vt:lpstr>et_P_PROCEDURE_TC_2</vt:lpstr>
      <vt:lpstr>et_P_PROCEDURE_TC_3</vt:lpstr>
      <vt:lpstr>et_P_PROCEDURE_TC_4</vt:lpstr>
      <vt:lpstr>et_P_PROCEDURE_TC_5</vt:lpstr>
      <vt:lpstr>et_P_T_TERMS</vt:lpstr>
      <vt:lpstr>et_Q_TP_DIFFERENTIATION</vt:lpstr>
      <vt:lpstr>et_QRE</vt:lpstr>
      <vt:lpstr>et_QRE_CLAIM</vt:lpstr>
      <vt:lpstr>et_R_B_Purch</vt:lpstr>
      <vt:lpstr>et_ROIV_CASE_case</vt:lpstr>
      <vt:lpstr>et_ROIV_CASE_PUC_case</vt:lpstr>
      <vt:lpstr>et_ROIV_INFO_phone</vt:lpstr>
      <vt:lpstr>et_ROIV_ORG_org</vt:lpstr>
      <vt:lpstr>et_ROIV_OTV_DL</vt:lpstr>
      <vt:lpstr>et_ROIV_OTV_org</vt:lpstr>
      <vt:lpstr>et_TERMS</vt:lpstr>
      <vt:lpstr>et_TERRITORY_AREA</vt:lpstr>
      <vt:lpstr>et_TERRITORY_MO</vt:lpstr>
      <vt:lpstr>et_ver_B_FHD_DIFFERENTIATION</vt:lpstr>
      <vt:lpstr>et_ver_B_FHD_TKO_DIFFERENTIATION</vt:lpstr>
      <vt:lpstr>et_ver_B_FHD_TKO_TRANS_DIFFERENTIATION</vt:lpstr>
      <vt:lpstr>et_ver_B_KNE_DIFFERENTIATION</vt:lpstr>
      <vt:lpstr>et_ver_B_OTEP_DIFFERENTIATION</vt:lpstr>
      <vt:lpstr>et_ver_COLDVSNA_TARIFF_A_COLDVSNA</vt:lpstr>
      <vt:lpstr>et_ver_COLDVSNA_TARIFF_B_COLDVSNA</vt:lpstr>
      <vt:lpstr>et_ver_COLDVSNA_TARIFF_C_COLDVSNA</vt:lpstr>
      <vt:lpstr>et_ver_COLDVSNA_TARIFF_D_COLDVSNA</vt:lpstr>
      <vt:lpstr>et_ver_COLDVSNA_TARIFF_E_COLDVSNA</vt:lpstr>
      <vt:lpstr>et_ver_HEAT_TARIFF_A</vt:lpstr>
      <vt:lpstr>et_ver_HEAT_TARIFF_B</vt:lpstr>
      <vt:lpstr>et_ver_HEAT_TARIFF_C</vt:lpstr>
      <vt:lpstr>et_ver_HEAT_TARIFF_D</vt:lpstr>
      <vt:lpstr>et_ver_HEAT_TARIFF_E1</vt:lpstr>
      <vt:lpstr>et_ver_HEAT_TARIFF_E2</vt:lpstr>
      <vt:lpstr>et_ver_HEAT_TARIFF_F</vt:lpstr>
      <vt:lpstr>et_ver_HEAT_TARIFF_G</vt:lpstr>
      <vt:lpstr>et_ver_HEAT_TARIFF_H</vt:lpstr>
      <vt:lpstr>et_ver_HEAT_TARIFF_I</vt:lpstr>
      <vt:lpstr>et_ver_HEAT_TARIFF_I_1</vt:lpstr>
      <vt:lpstr>et_ver_HOTVSNA_TARIFF_A_HOTVSNA</vt:lpstr>
      <vt:lpstr>et_ver_HOTVSNA_TARIFF_B_HOTVSNA</vt:lpstr>
      <vt:lpstr>et_ver_HOTVSNA_TARIFF_C_HOTVSNA</vt:lpstr>
      <vt:lpstr>et_ver_IP_FIN_PLAN</vt:lpstr>
      <vt:lpstr>et_ver_IP_FIN_PLAN_YEAR</vt:lpstr>
      <vt:lpstr>et_ver_Q_LIMIT_DIFFERENTIATION</vt:lpstr>
      <vt:lpstr>et_ver_Q_PH_DIFFERENTIATION</vt:lpstr>
      <vt:lpstr>et_ver_Q_TP_DIFFERENTIATION</vt:lpstr>
      <vt:lpstr>et_ver_VOTV_TARIFF_A_VOTV</vt:lpstr>
      <vt:lpstr>et_ver_VOTV_TARIFF_B_VOTV</vt:lpstr>
      <vt:lpstr>et_ver_VOTV_TARIFF_C_VOTV</vt:lpstr>
      <vt:lpstr>et_VOTV_TARIFF_A_VOTV_CS</vt:lpstr>
      <vt:lpstr>et_VOTV_TARIFF_A_VOTV_DATA_DIFF</vt:lpstr>
      <vt:lpstr>et_VOTV_TARIFF_A_VOTV_FLAG_DIFF</vt:lpstr>
      <vt:lpstr>et_VOTV_TARIFF_A_VOTV_GC</vt:lpstr>
      <vt:lpstr>et_VOTV_TARIFF_A_VOTV_NTAR</vt:lpstr>
      <vt:lpstr>et_VOTV_TARIFF_A_VOTV_PERIOD_COLOR</vt:lpstr>
      <vt:lpstr>et_VOTV_TARIFF_A_VOTV_PERIOD_NOT_COLOR</vt:lpstr>
      <vt:lpstr>et_VOTV_TARIFF_A_VOTV_TER</vt:lpstr>
      <vt:lpstr>et_VOTV_TARIFF_A_VOTV_TN</vt:lpstr>
      <vt:lpstr>et_VOTV_TARIFF_B_VOTV_CS</vt:lpstr>
      <vt:lpstr>et_VOTV_TARIFF_B_VOTV_DATA_DIFF</vt:lpstr>
      <vt:lpstr>et_VOTV_TARIFF_B_VOTV_FLAG_DIFF</vt:lpstr>
      <vt:lpstr>et_VOTV_TARIFF_B_VOTV_GC</vt:lpstr>
      <vt:lpstr>et_VOTV_TARIFF_B_VOTV_NTAR</vt:lpstr>
      <vt:lpstr>et_VOTV_TARIFF_B_VOTV_PERIOD_COLOR</vt:lpstr>
      <vt:lpstr>et_VOTV_TARIFF_B_VOTV_PERIOD_NOT_COLOR</vt:lpstr>
      <vt:lpstr>et_VOTV_TARIFF_B_VOTV_TER</vt:lpstr>
      <vt:lpstr>et_VOTV_TARIFF_B_VOTV_TN</vt:lpstr>
      <vt:lpstr>et_VOTV_TARIFF_C_VOTV_CS</vt:lpstr>
      <vt:lpstr>et_VOTV_TARIFF_C_VOTV_DATA_DIFF</vt:lpstr>
      <vt:lpstr>et_VOTV_TARIFF_C_VOTV_DIAMETERS</vt:lpstr>
      <vt:lpstr>et_VOTV_TARIFF_C_VOTV_FLAG_DIFF</vt:lpstr>
      <vt:lpstr>et_VOTV_TARIFF_C_VOTV_GC</vt:lpstr>
      <vt:lpstr>et_VOTV_TARIFF_C_VOTV_LEN</vt:lpstr>
      <vt:lpstr>et_VOTV_TARIFF_C_VOTV_LOAD</vt:lpstr>
      <vt:lpstr>et_VOTV_TARIFF_C_VOTV_NETS</vt:lpstr>
      <vt:lpstr>et_VOTV_TARIFF_C_VOTV_NTAR</vt:lpstr>
      <vt:lpstr>et_VOTV_TARIFF_C_VOTV_PERIOD_COLOR</vt:lpstr>
      <vt:lpstr>et_VOTV_TARIFF_C_VOTV_PERIOD_NOT_COLOR</vt:lpstr>
      <vt:lpstr>et_VOTV_TARIFF_C_VOTV_TER</vt:lpstr>
      <vt:lpstr>f_quart</vt:lpstr>
      <vt:lpstr>f_year</vt:lpstr>
      <vt:lpstr>FHD_NAME_FORM</vt:lpstr>
      <vt:lpstr>FHD_NOTE_P_1</vt:lpstr>
      <vt:lpstr>FHD_NOTE_P_10</vt:lpstr>
      <vt:lpstr>FHD_NOTE_P_11</vt:lpstr>
      <vt:lpstr>FHD_NOTE_P_12</vt:lpstr>
      <vt:lpstr>FHD_NOTE_P_13</vt:lpstr>
      <vt:lpstr>FHD_NOTE_P_14</vt:lpstr>
      <vt:lpstr>FHD_NOTE_P_15</vt:lpstr>
      <vt:lpstr>FHD_NOTE_P_16</vt:lpstr>
      <vt:lpstr>FHD_NOTE_P_17</vt:lpstr>
      <vt:lpstr>FHD_NOTE_P_18</vt:lpstr>
      <vt:lpstr>FHD_NOTE_P_19</vt:lpstr>
      <vt:lpstr>FHD_NOTE_P_2</vt:lpstr>
      <vt:lpstr>FHD_NOTE_P_20</vt:lpstr>
      <vt:lpstr>FHD_NOTE_P_21</vt:lpstr>
      <vt:lpstr>FHD_NOTE_P_22</vt:lpstr>
      <vt:lpstr>FHD_NOTE_P_23</vt:lpstr>
      <vt:lpstr>FHD_NOTE_P_24</vt:lpstr>
      <vt:lpstr>FHD_NOTE_P_25</vt:lpstr>
      <vt:lpstr>FHD_NOTE_P_26</vt:lpstr>
      <vt:lpstr>FHD_NOTE_P_27</vt:lpstr>
      <vt:lpstr>FHD_NOTE_P_28</vt:lpstr>
      <vt:lpstr>FHD_NOTE_P_29</vt:lpstr>
      <vt:lpstr>FHD_NOTE_P_3</vt:lpstr>
      <vt:lpstr>FHD_NOTE_P_30</vt:lpstr>
      <vt:lpstr>FHD_NOTE_P_31</vt:lpstr>
      <vt:lpstr>FHD_NOTE_P_32</vt:lpstr>
      <vt:lpstr>FHD_NOTE_P_33</vt:lpstr>
      <vt:lpstr>FHD_NOTE_P_34</vt:lpstr>
      <vt:lpstr>FHD_NOTE_P_35</vt:lpstr>
      <vt:lpstr>FHD_NOTE_P_36</vt:lpstr>
      <vt:lpstr>FHD_NOTE_P_37</vt:lpstr>
      <vt:lpstr>FHD_NOTE_P_38</vt:lpstr>
      <vt:lpstr>FHD_NOTE_P_39</vt:lpstr>
      <vt:lpstr>FHD_NOTE_P_4</vt:lpstr>
      <vt:lpstr>FHD_NOTE_P_40</vt:lpstr>
      <vt:lpstr>FHD_NOTE_P_41</vt:lpstr>
      <vt:lpstr>FHD_NOTE_P_42</vt:lpstr>
      <vt:lpstr>FHD_NOTE_P_43</vt:lpstr>
      <vt:lpstr>FHD_NOTE_P_44</vt:lpstr>
      <vt:lpstr>FHD_NOTE_P_45</vt:lpstr>
      <vt:lpstr>FHD_NOTE_P_46</vt:lpstr>
      <vt:lpstr>FHD_NOTE_P_47</vt:lpstr>
      <vt:lpstr>FHD_NOTE_P_48</vt:lpstr>
      <vt:lpstr>FHD_NOTE_P_49</vt:lpstr>
      <vt:lpstr>FHD_NOTE_P_5</vt:lpstr>
      <vt:lpstr>FHD_NOTE_P_50</vt:lpstr>
      <vt:lpstr>FHD_NOTE_P_51</vt:lpstr>
      <vt:lpstr>FHD_NOTE_P_52</vt:lpstr>
      <vt:lpstr>FHD_NOTE_P_53</vt:lpstr>
      <vt:lpstr>FHD_NOTE_P_54</vt:lpstr>
      <vt:lpstr>FHD_NOTE_P_55</vt:lpstr>
      <vt:lpstr>FHD_NOTE_P_56</vt:lpstr>
      <vt:lpstr>FHD_NOTE_P_57</vt:lpstr>
      <vt:lpstr>FHD_NOTE_P_58</vt:lpstr>
      <vt:lpstr>FHD_NOTE_P_59</vt:lpstr>
      <vt:lpstr>FHD_NOTE_P_6</vt:lpstr>
      <vt:lpstr>FHD_NOTE_P_60</vt:lpstr>
      <vt:lpstr>FHD_NOTE_P_61</vt:lpstr>
      <vt:lpstr>FHD_NOTE_P_62</vt:lpstr>
      <vt:lpstr>FHD_NOTE_P_63</vt:lpstr>
      <vt:lpstr>FHD_NOTE_P_64</vt:lpstr>
      <vt:lpstr>FHD_NOTE_P_65</vt:lpstr>
      <vt:lpstr>FHD_NOTE_P_66</vt:lpstr>
      <vt:lpstr>FHD_NOTE_P_67</vt:lpstr>
      <vt:lpstr>FHD_NOTE_P_68</vt:lpstr>
      <vt:lpstr>FHD_NOTE_P_69</vt:lpstr>
      <vt:lpstr>FHD_NOTE_P_7</vt:lpstr>
      <vt:lpstr>FHD_NOTE_P_70</vt:lpstr>
      <vt:lpstr>FHD_NOTE_P_71</vt:lpstr>
      <vt:lpstr>FHD_NOTE_P_72</vt:lpstr>
      <vt:lpstr>FHD_NOTE_P_73</vt:lpstr>
      <vt:lpstr>FHD_NOTE_P_74</vt:lpstr>
      <vt:lpstr>FHD_NOTE_P_75</vt:lpstr>
      <vt:lpstr>FHD_NOTE_P_76</vt:lpstr>
      <vt:lpstr>FHD_NOTE_P_77</vt:lpstr>
      <vt:lpstr>FHD_NOTE_P_78</vt:lpstr>
      <vt:lpstr>FHD_NOTE_P_79</vt:lpstr>
      <vt:lpstr>FHD_NOTE_P_8</vt:lpstr>
      <vt:lpstr>FHD_NOTE_P_80</vt:lpstr>
      <vt:lpstr>FHD_NOTE_P_81</vt:lpstr>
      <vt:lpstr>FHD_NOTE_P_82</vt:lpstr>
      <vt:lpstr>FHD_NOTE_P_83</vt:lpstr>
      <vt:lpstr>FHD_NOTE_P_84</vt:lpstr>
      <vt:lpstr>FHD_NOTE_P_9</vt:lpstr>
      <vt:lpstr>FHD_NUM_P_1</vt:lpstr>
      <vt:lpstr>FHD_NUM_P_10</vt:lpstr>
      <vt:lpstr>FHD_NUM_P_11</vt:lpstr>
      <vt:lpstr>FHD_NUM_P_12</vt:lpstr>
      <vt:lpstr>FHD_NUM_P_13</vt:lpstr>
      <vt:lpstr>FHD_NUM_P_14</vt:lpstr>
      <vt:lpstr>FHD_NUM_P_15</vt:lpstr>
      <vt:lpstr>FHD_NUM_P_16</vt:lpstr>
      <vt:lpstr>FHD_NUM_P_17</vt:lpstr>
      <vt:lpstr>FHD_NUM_P_18</vt:lpstr>
      <vt:lpstr>FHD_NUM_P_19</vt:lpstr>
      <vt:lpstr>FHD_NUM_P_2</vt:lpstr>
      <vt:lpstr>FHD_NUM_P_20</vt:lpstr>
      <vt:lpstr>FHD_NUM_P_21</vt:lpstr>
      <vt:lpstr>FHD_NUM_P_22</vt:lpstr>
      <vt:lpstr>FHD_NUM_P_23</vt:lpstr>
      <vt:lpstr>FHD_NUM_P_24</vt:lpstr>
      <vt:lpstr>FHD_NUM_P_25</vt:lpstr>
      <vt:lpstr>FHD_NUM_P_26</vt:lpstr>
      <vt:lpstr>FHD_NUM_P_27</vt:lpstr>
      <vt:lpstr>FHD_NUM_P_28</vt:lpstr>
      <vt:lpstr>FHD_NUM_P_29</vt:lpstr>
      <vt:lpstr>FHD_NUM_P_3</vt:lpstr>
      <vt:lpstr>FHD_NUM_P_30</vt:lpstr>
      <vt:lpstr>FHD_NUM_P_31</vt:lpstr>
      <vt:lpstr>FHD_NUM_P_32</vt:lpstr>
      <vt:lpstr>FHD_NUM_P_33</vt:lpstr>
      <vt:lpstr>FHD_NUM_P_34</vt:lpstr>
      <vt:lpstr>FHD_NUM_P_35</vt:lpstr>
      <vt:lpstr>FHD_NUM_P_36</vt:lpstr>
      <vt:lpstr>FHD_NUM_P_37</vt:lpstr>
      <vt:lpstr>FHD_NUM_P_38</vt:lpstr>
      <vt:lpstr>FHD_NUM_P_39</vt:lpstr>
      <vt:lpstr>FHD_NUM_P_4</vt:lpstr>
      <vt:lpstr>FHD_NUM_P_40</vt:lpstr>
      <vt:lpstr>FHD_NUM_P_41</vt:lpstr>
      <vt:lpstr>FHD_NUM_P_42</vt:lpstr>
      <vt:lpstr>FHD_NUM_P_43</vt:lpstr>
      <vt:lpstr>FHD_NUM_P_44</vt:lpstr>
      <vt:lpstr>FHD_NUM_P_45</vt:lpstr>
      <vt:lpstr>FHD_NUM_P_46</vt:lpstr>
      <vt:lpstr>FHD_NUM_P_47</vt:lpstr>
      <vt:lpstr>FHD_NUM_P_48</vt:lpstr>
      <vt:lpstr>FHD_NUM_P_49</vt:lpstr>
      <vt:lpstr>FHD_NUM_P_5</vt:lpstr>
      <vt:lpstr>FHD_NUM_P_50</vt:lpstr>
      <vt:lpstr>FHD_NUM_P_51</vt:lpstr>
      <vt:lpstr>FHD_NUM_P_52</vt:lpstr>
      <vt:lpstr>FHD_NUM_P_53</vt:lpstr>
      <vt:lpstr>FHD_NUM_P_54</vt:lpstr>
      <vt:lpstr>FHD_NUM_P_55</vt:lpstr>
      <vt:lpstr>FHD_NUM_P_56</vt:lpstr>
      <vt:lpstr>FHD_NUM_P_57</vt:lpstr>
      <vt:lpstr>FHD_NUM_P_58</vt:lpstr>
      <vt:lpstr>FHD_NUM_P_59</vt:lpstr>
      <vt:lpstr>FHD_NUM_P_6</vt:lpstr>
      <vt:lpstr>FHD_NUM_P_60</vt:lpstr>
      <vt:lpstr>FHD_NUM_P_61</vt:lpstr>
      <vt:lpstr>FHD_NUM_P_62</vt:lpstr>
      <vt:lpstr>FHD_NUM_P_63</vt:lpstr>
      <vt:lpstr>FHD_NUM_P_64</vt:lpstr>
      <vt:lpstr>FHD_NUM_P_65</vt:lpstr>
      <vt:lpstr>FHD_NUM_P_66</vt:lpstr>
      <vt:lpstr>FHD_NUM_P_67</vt:lpstr>
      <vt:lpstr>FHD_NUM_P_68</vt:lpstr>
      <vt:lpstr>FHD_NUM_P_69</vt:lpstr>
      <vt:lpstr>FHD_NUM_P_7</vt:lpstr>
      <vt:lpstr>FHD_NUM_P_70</vt:lpstr>
      <vt:lpstr>FHD_NUM_P_71</vt:lpstr>
      <vt:lpstr>FHD_NUM_P_72</vt:lpstr>
      <vt:lpstr>FHD_NUM_P_73</vt:lpstr>
      <vt:lpstr>FHD_NUM_P_74</vt:lpstr>
      <vt:lpstr>FHD_NUM_P_75</vt:lpstr>
      <vt:lpstr>FHD_NUM_P_76</vt:lpstr>
      <vt:lpstr>FHD_NUM_P_77</vt:lpstr>
      <vt:lpstr>FHD_NUM_P_78</vt:lpstr>
      <vt:lpstr>FHD_NUM_P_79</vt:lpstr>
      <vt:lpstr>FHD_NUM_P_8</vt:lpstr>
      <vt:lpstr>FHD_NUM_P_80</vt:lpstr>
      <vt:lpstr>FHD_NUM_P_81</vt:lpstr>
      <vt:lpstr>FHD_NUM_P_82</vt:lpstr>
      <vt:lpstr>FHD_NUM_P_83</vt:lpstr>
      <vt:lpstr>FHD_NUM_P_84</vt:lpstr>
      <vt:lpstr>FHD_NUM_P_9</vt:lpstr>
      <vt:lpstr>FHD_NUM_P_A</vt:lpstr>
      <vt:lpstr>FHD_P_1</vt:lpstr>
      <vt:lpstr>FHD_P_10</vt:lpstr>
      <vt:lpstr>FHD_P_11</vt:lpstr>
      <vt:lpstr>FHD_P_12</vt:lpstr>
      <vt:lpstr>FHD_P_13</vt:lpstr>
      <vt:lpstr>FHD_P_14</vt:lpstr>
      <vt:lpstr>FHD_P_15</vt:lpstr>
      <vt:lpstr>FHD_P_16</vt:lpstr>
      <vt:lpstr>FHD_P_17</vt:lpstr>
      <vt:lpstr>FHD_P_18</vt:lpstr>
      <vt:lpstr>FHD_P_19</vt:lpstr>
      <vt:lpstr>FHD_P_2</vt:lpstr>
      <vt:lpstr>FHD_P_20</vt:lpstr>
      <vt:lpstr>FHD_P_21</vt:lpstr>
      <vt:lpstr>FHD_P_22</vt:lpstr>
      <vt:lpstr>FHD_P_23</vt:lpstr>
      <vt:lpstr>FHD_P_24</vt:lpstr>
      <vt:lpstr>FHD_P_25</vt:lpstr>
      <vt:lpstr>FHD_P_26</vt:lpstr>
      <vt:lpstr>FHD_P_27</vt:lpstr>
      <vt:lpstr>FHD_P_28</vt:lpstr>
      <vt:lpstr>FHD_P_29</vt:lpstr>
      <vt:lpstr>FHD_P_3</vt:lpstr>
      <vt:lpstr>FHD_P_30</vt:lpstr>
      <vt:lpstr>FHD_P_31</vt:lpstr>
      <vt:lpstr>FHD_P_32</vt:lpstr>
      <vt:lpstr>FHD_P_33</vt:lpstr>
      <vt:lpstr>FHD_P_34</vt:lpstr>
      <vt:lpstr>FHD_P_35</vt:lpstr>
      <vt:lpstr>FHD_P_36</vt:lpstr>
      <vt:lpstr>FHD_P_37</vt:lpstr>
      <vt:lpstr>FHD_P_38</vt:lpstr>
      <vt:lpstr>FHD_P_39</vt:lpstr>
      <vt:lpstr>FHD_P_4</vt:lpstr>
      <vt:lpstr>FHD_P_40</vt:lpstr>
      <vt:lpstr>FHD_P_41</vt:lpstr>
      <vt:lpstr>FHD_P_42</vt:lpstr>
      <vt:lpstr>FHD_P_43</vt:lpstr>
      <vt:lpstr>FHD_P_44</vt:lpstr>
      <vt:lpstr>FHD_P_45</vt:lpstr>
      <vt:lpstr>FHD_P_46</vt:lpstr>
      <vt:lpstr>FHD_P_47</vt:lpstr>
      <vt:lpstr>FHD_P_48</vt:lpstr>
      <vt:lpstr>FHD_P_49</vt:lpstr>
      <vt:lpstr>FHD_P_5</vt:lpstr>
      <vt:lpstr>FHD_P_50</vt:lpstr>
      <vt:lpstr>FHD_P_51</vt:lpstr>
      <vt:lpstr>FHD_P_52</vt:lpstr>
      <vt:lpstr>FHD_P_53</vt:lpstr>
      <vt:lpstr>FHD_P_54</vt:lpstr>
      <vt:lpstr>FHD_P_55</vt:lpstr>
      <vt:lpstr>FHD_P_56</vt:lpstr>
      <vt:lpstr>FHD_P_57</vt:lpstr>
      <vt:lpstr>FHD_P_58</vt:lpstr>
      <vt:lpstr>FHD_P_59</vt:lpstr>
      <vt:lpstr>FHD_P_6</vt:lpstr>
      <vt:lpstr>FHD_P_60</vt:lpstr>
      <vt:lpstr>FHD_P_61</vt:lpstr>
      <vt:lpstr>FHD_P_62</vt:lpstr>
      <vt:lpstr>FHD_P_63</vt:lpstr>
      <vt:lpstr>FHD_P_64</vt:lpstr>
      <vt:lpstr>FHD_P_65</vt:lpstr>
      <vt:lpstr>FHD_P_66</vt:lpstr>
      <vt:lpstr>FHD_P_67</vt:lpstr>
      <vt:lpstr>FHD_P_68</vt:lpstr>
      <vt:lpstr>FHD_P_69</vt:lpstr>
      <vt:lpstr>FHD_P_7</vt:lpstr>
      <vt:lpstr>FHD_P_70</vt:lpstr>
      <vt:lpstr>FHD_P_71</vt:lpstr>
      <vt:lpstr>FHD_P_72</vt:lpstr>
      <vt:lpstr>FHD_P_73</vt:lpstr>
      <vt:lpstr>FHD_P_74</vt:lpstr>
      <vt:lpstr>FHD_P_75</vt:lpstr>
      <vt:lpstr>FHD_P_76</vt:lpstr>
      <vt:lpstr>FHD_P_77</vt:lpstr>
      <vt:lpstr>FHD_P_78</vt:lpstr>
      <vt:lpstr>FHD_P_79</vt:lpstr>
      <vt:lpstr>FHD_P_8</vt:lpstr>
      <vt:lpstr>FHD_P_80</vt:lpstr>
      <vt:lpstr>FHD_P_81</vt:lpstr>
      <vt:lpstr>FHD_P_82</vt:lpstr>
      <vt:lpstr>FHD_P_83</vt:lpstr>
      <vt:lpstr>FHD_P_84</vt:lpstr>
      <vt:lpstr>FHD_P_9</vt:lpstr>
      <vt:lpstr>FHD_P_A</vt:lpstr>
      <vt:lpstr>FHD20_NAME_FORM</vt:lpstr>
      <vt:lpstr>fil</vt:lpstr>
      <vt:lpstr>flag_Q_LIMIT_p3</vt:lpstr>
      <vt:lpstr>flag_Q_LIMIT_p4</vt:lpstr>
      <vt:lpstr>HEAT_FIN_SRC_LIST</vt:lpstr>
      <vt:lpstr>HEAT_FIN_SRC_VLD_LIST</vt:lpstr>
      <vt:lpstr>HEAT_IP_EVENT_CI_STAGE_LIST</vt:lpstr>
      <vt:lpstr>HEAT_IP_EVENT_GROUP_LIST</vt:lpstr>
      <vt:lpstr>HEAT_IP_EVENT_SUBGROUP_1_LIST</vt:lpstr>
      <vt:lpstr>HEAT_IP_EVENT_SUBGROUP_3_LIST</vt:lpstr>
      <vt:lpstr>HEAT_IP_EVENT_SUBGROUP_5_LIST</vt:lpstr>
      <vt:lpstr>HEAT_IP_EVENT_TYPE_LIST</vt:lpstr>
      <vt:lpstr>HEAT_PT_SCHEME</vt:lpstr>
      <vt:lpstr>HEAT_PT_TARIFF_ID</vt:lpstr>
      <vt:lpstr>HEAT_PT_TARIFF_NAME</vt:lpstr>
      <vt:lpstr>HEAT_PT_TARIFF_NAME_LIST</vt:lpstr>
      <vt:lpstr>HEAT_PT_VED_ID</vt:lpstr>
      <vt:lpstr>HEAT_PT_VED_NAME</vt:lpstr>
      <vt:lpstr>HEAT_PT_VED_NAME_LIST</vt:lpstr>
      <vt:lpstr>HEAT_TARIFF_A_ADD_HL_COLUMN_MARKER</vt:lpstr>
      <vt:lpstr>HEAT_TARIFF_A_DEL_HL_GC_COLUMN_MARKER</vt:lpstr>
      <vt:lpstr>HEAT_TARIFF_A_DEL_HL_SCHEME_COLUMN_MARKER</vt:lpstr>
      <vt:lpstr>HEAT_TARIFF_A_DEL_HL_TN_COLUMN_MARKER</vt:lpstr>
      <vt:lpstr>HEAT_TARIFF_A_DELETE_PERIOD_ROW_MARKER</vt:lpstr>
      <vt:lpstr>HEAT_TARIFF_A_FLAG_BLOCK_COLUMN_MARKER</vt:lpstr>
      <vt:lpstr>HEAT_TARIFF_A_FLAG_BLOCK_ROW_MARKER</vt:lpstr>
      <vt:lpstr>HEAT_TARIFF_A_NUM_CS_COLUMN_MARKER</vt:lpstr>
      <vt:lpstr>HEAT_TARIFF_A_NUM_GC_COLUMN_MARKER</vt:lpstr>
      <vt:lpstr>HEAT_TARIFF_A_NUM_IST_TE_COLUMN_MARKER</vt:lpstr>
      <vt:lpstr>HEAT_TARIFF_A_NUM_NTAR_COLUMN_MARKER</vt:lpstr>
      <vt:lpstr>HEAT_TARIFF_A_NUM_SCHEME_COLUMN_MARKER</vt:lpstr>
      <vt:lpstr>HEAT_TARIFF_A_NUM_TER_COLUMN_MARKER</vt:lpstr>
      <vt:lpstr>HEAT_TARIFF_A_NUM_TN_COLUMN_MARKER</vt:lpstr>
      <vt:lpstr>HEAT_TARIFF_B_ADD_HL_COLUMN_MARKER</vt:lpstr>
      <vt:lpstr>HEAT_TARIFF_B_DEL_HL_GC_COLUMN_MARKER</vt:lpstr>
      <vt:lpstr>HEAT_TARIFF_B_DEL_HL_SCHEME_COLUMN_MARKER</vt:lpstr>
      <vt:lpstr>HEAT_TARIFF_B_DEL_HL_TN_COLUMN_MARKER</vt:lpstr>
      <vt:lpstr>HEAT_TARIFF_B_DELETE_PERIOD_ROW_MARKER</vt:lpstr>
      <vt:lpstr>HEAT_TARIFF_B_FLAG_BLOCK_COLUMN_MARKER</vt:lpstr>
      <vt:lpstr>HEAT_TARIFF_B_FLAG_BLOCK_ROW_MARKER</vt:lpstr>
      <vt:lpstr>HEAT_TARIFF_B_NUM_CS_COLUMN_MARKER</vt:lpstr>
      <vt:lpstr>HEAT_TARIFF_B_NUM_GC_COLUMN_MARKER</vt:lpstr>
      <vt:lpstr>HEAT_TARIFF_B_NUM_IST_TE_COLUMN_MARKER</vt:lpstr>
      <vt:lpstr>HEAT_TARIFF_B_NUM_NTAR_COLUMN_MARKER</vt:lpstr>
      <vt:lpstr>HEAT_TARIFF_B_NUM_SCHEME_COLUMN_MARKER</vt:lpstr>
      <vt:lpstr>HEAT_TARIFF_B_NUM_TER_COLUMN_MARKER</vt:lpstr>
      <vt:lpstr>HEAT_TARIFF_B_NUM_TN_COLUMN_MARKER</vt:lpstr>
      <vt:lpstr>HEAT_TARIFF_C_ADD_HL_COLUMN_MARKER</vt:lpstr>
      <vt:lpstr>HEAT_TARIFF_C_DEL_HL_GC_COLUMN_MARKER</vt:lpstr>
      <vt:lpstr>HEAT_TARIFF_C_DEL_HL_SCHEME_COLUMN_MARKER</vt:lpstr>
      <vt:lpstr>HEAT_TARIFF_C_DEL_HL_TN_COLUMN_MARKER</vt:lpstr>
      <vt:lpstr>HEAT_TARIFF_C_DELETE_PERIOD_ROW_MARKER</vt:lpstr>
      <vt:lpstr>HEAT_TARIFF_C_FLAG_BLOCK_COLUMN_MARKER</vt:lpstr>
      <vt:lpstr>HEAT_TARIFF_C_FLAG_BLOCK_ROW_MARKER</vt:lpstr>
      <vt:lpstr>HEAT_TARIFF_C_NUM_CS_COLUMN_MARKER</vt:lpstr>
      <vt:lpstr>HEAT_TARIFF_C_NUM_GC_COLUMN_MARKER</vt:lpstr>
      <vt:lpstr>HEAT_TARIFF_C_NUM_IST_TE_COLUMN_MARKER</vt:lpstr>
      <vt:lpstr>HEAT_TARIFF_C_NUM_NTAR_COLUMN_MARKER</vt:lpstr>
      <vt:lpstr>HEAT_TARIFF_C_NUM_SCHEME_COLUMN_MARKER</vt:lpstr>
      <vt:lpstr>HEAT_TARIFF_C_NUM_TER_COLUMN_MARKER</vt:lpstr>
      <vt:lpstr>HEAT_TARIFF_C_NUM_TN_COLUMN_MARKER</vt:lpstr>
      <vt:lpstr>HEAT_TARIFF_D_ADD_HL_COLUMN_MARKER</vt:lpstr>
      <vt:lpstr>HEAT_TARIFF_D_DEL_HL_CONS_COLUMN_MARKER</vt:lpstr>
      <vt:lpstr>HEAT_TARIFF_D_DEL_HL_GC_COLUMN_MARKER</vt:lpstr>
      <vt:lpstr>HEAT_TARIFF_D_DEL_HL_SCHEME_COLUMN_MARKER</vt:lpstr>
      <vt:lpstr>HEAT_TARIFF_D_DEL_HL_TN_COLUMN_MARKER</vt:lpstr>
      <vt:lpstr>HEAT_TARIFF_D_DELETE_PERIOD_ROW_MARKER</vt:lpstr>
      <vt:lpstr>HEAT_TARIFF_D_FLAG_BLOCK_COLUMN_MARKER</vt:lpstr>
      <vt:lpstr>HEAT_TARIFF_D_FLAG_BLOCK_ROW_MARKER</vt:lpstr>
      <vt:lpstr>HEAT_TARIFF_D_NUM_CONS_COLUMN_MARKER</vt:lpstr>
      <vt:lpstr>HEAT_TARIFF_D_NUM_CS_COLUMN_MARKER</vt:lpstr>
      <vt:lpstr>HEAT_TARIFF_D_NUM_GC_COLUMN_MARKER</vt:lpstr>
      <vt:lpstr>HEAT_TARIFF_D_NUM_IST_TE_COLUMN_MARKER</vt:lpstr>
      <vt:lpstr>HEAT_TARIFF_D_NUM_NTAR_COLUMN_MARKER</vt:lpstr>
      <vt:lpstr>HEAT_TARIFF_D_NUM_SCHEME_COLUMN_MARKER</vt:lpstr>
      <vt:lpstr>HEAT_TARIFF_D_NUM_TER_COLUMN_MARKER</vt:lpstr>
      <vt:lpstr>HEAT_TARIFF_D_NUM_TN_COLUMN_MARKER</vt:lpstr>
      <vt:lpstr>HEAT_TARIFF_E1_ADD_HL_COLUMN_MARKER</vt:lpstr>
      <vt:lpstr>HEAT_TARIFF_E1_DEL_HL_GC_COLUMN_MARKER</vt:lpstr>
      <vt:lpstr>HEAT_TARIFF_E1_DEL_HL_SCHEME_COLUMN_MARKER</vt:lpstr>
      <vt:lpstr>HEAT_TARIFF_E1_DEL_HL_TN_COLUMN_MARKER</vt:lpstr>
      <vt:lpstr>HEAT_TARIFF_E1_DELETE_PERIOD_ROW_MARKER</vt:lpstr>
      <vt:lpstr>HEAT_TARIFF_E1_FLAG_BLOCK_COLUMN_MARKER</vt:lpstr>
      <vt:lpstr>HEAT_TARIFF_E1_FLAG_BLOCK_ROW_MARKER</vt:lpstr>
      <vt:lpstr>HEAT_TARIFF_E1_NUM_CS_COLUMN_MARKER</vt:lpstr>
      <vt:lpstr>HEAT_TARIFF_E1_NUM_GC_COLUMN_MARKER</vt:lpstr>
      <vt:lpstr>HEAT_TARIFF_E1_NUM_IST_TE_COLUMN_MARKER</vt:lpstr>
      <vt:lpstr>HEAT_TARIFF_E1_NUM_NTAR_COLUMN_MARKER</vt:lpstr>
      <vt:lpstr>HEAT_TARIFF_E1_NUM_SCHEME_COLUMN_MARKER</vt:lpstr>
      <vt:lpstr>HEAT_TARIFF_E1_NUM_TER_COLUMN_MARKER</vt:lpstr>
      <vt:lpstr>HEAT_TARIFF_E1_NUM_TN_COLUMN_MARKER</vt:lpstr>
      <vt:lpstr>HEAT_TARIFF_E2_ADD_HL_COLUMN_MARKER</vt:lpstr>
      <vt:lpstr>HEAT_TARIFF_E2_DEL_HL_GC_COLUMN_MARKER</vt:lpstr>
      <vt:lpstr>HEAT_TARIFF_E2_DEL_HL_SCHEME_COLUMN_MARKER</vt:lpstr>
      <vt:lpstr>HEAT_TARIFF_E2_DEL_HL_TN_COLUMN_MARKER</vt:lpstr>
      <vt:lpstr>HEAT_TARIFF_E2_DELETE_PERIOD_ROW_MARKER</vt:lpstr>
      <vt:lpstr>HEAT_TARIFF_E2_FLAG_BLOCK_COLUMN_MARKER</vt:lpstr>
      <vt:lpstr>HEAT_TARIFF_E2_FLAG_BLOCK_ROW_MARKER</vt:lpstr>
      <vt:lpstr>HEAT_TARIFF_E2_NUM_CS_COLUMN_MARKER</vt:lpstr>
      <vt:lpstr>HEAT_TARIFF_E2_NUM_GC_COLUMN_MARKER</vt:lpstr>
      <vt:lpstr>HEAT_TARIFF_E2_NUM_IST_TE_COLUMN_MARKER</vt:lpstr>
      <vt:lpstr>HEAT_TARIFF_E2_NUM_NTAR_COLUMN_MARKER</vt:lpstr>
      <vt:lpstr>HEAT_TARIFF_E2_NUM_SCHEME_COLUMN_MARKER</vt:lpstr>
      <vt:lpstr>HEAT_TARIFF_E2_NUM_TER_COLUMN_MARKER</vt:lpstr>
      <vt:lpstr>HEAT_TARIFF_E2_NUM_TN_COLUMN_MARKER</vt:lpstr>
      <vt:lpstr>HEAT_TARIFF_F_ADD_HL_COLUMN_MARKER</vt:lpstr>
      <vt:lpstr>HEAT_TARIFF_F_DEL_HL_GC_COLUMN_MARKER</vt:lpstr>
      <vt:lpstr>HEAT_TARIFF_F_DEL_HL_SCHEME_COLUMN_MARKER</vt:lpstr>
      <vt:lpstr>HEAT_TARIFF_F_DEL_HL_TN_COLUMN_MARKER</vt:lpstr>
      <vt:lpstr>HEAT_TARIFF_F_DELETE_PERIOD_ROW_MARKER</vt:lpstr>
      <vt:lpstr>HEAT_TARIFF_F_FLAG_BLOCK_COLUMN_MARKER</vt:lpstr>
      <vt:lpstr>HEAT_TARIFF_F_FLAG_BLOCK_ROW_MARKER</vt:lpstr>
      <vt:lpstr>HEAT_TARIFF_F_NUM_CS_COLUMN_MARKER</vt:lpstr>
      <vt:lpstr>HEAT_TARIFF_F_NUM_GC_COLUMN_MARKER</vt:lpstr>
      <vt:lpstr>HEAT_TARIFF_F_NUM_IST_TE_COLUMN_MARKER</vt:lpstr>
      <vt:lpstr>HEAT_TARIFF_F_NUM_NTAR_COLUMN_MARKER</vt:lpstr>
      <vt:lpstr>HEAT_TARIFF_F_NUM_SCHEME_COLUMN_MARKER</vt:lpstr>
      <vt:lpstr>HEAT_TARIFF_F_NUM_TER_COLUMN_MARKER</vt:lpstr>
      <vt:lpstr>HEAT_TARIFF_F_NUM_TN_COLUMN_MARKER</vt:lpstr>
      <vt:lpstr>HEAT_TARIFF_G_ADD_HL_COLUMN_MARKER</vt:lpstr>
      <vt:lpstr>HEAT_TARIFF_G_ADD_HL_DIAMETERS_COLUMN_MARKER</vt:lpstr>
      <vt:lpstr>HEAT_TARIFF_G_ADD_HL_LOAD_COLUMN_MARKER</vt:lpstr>
      <vt:lpstr>HEAT_TARIFF_G_ADD_HL_NETS_COLUMN_MARKER</vt:lpstr>
      <vt:lpstr>HEAT_TARIFF_G_DEL_HL_DIAMETERS_COLUMN_MARKER</vt:lpstr>
      <vt:lpstr>HEAT_TARIFF_G_DEL_HL_GC_COLUMN_MARKER</vt:lpstr>
      <vt:lpstr>HEAT_TARIFF_G_DEL_HL_LOAD_COLUMN_MARKER</vt:lpstr>
      <vt:lpstr>HEAT_TARIFF_G_DEL_HL_NETS_COLUMN_MARKER</vt:lpstr>
      <vt:lpstr>HEAT_TARIFF_G_DEL_HL_SCHEME_COLUMN_MARKER</vt:lpstr>
      <vt:lpstr>HEAT_TARIFF_G_DEL_HL_TN_COLUMN_MARKER</vt:lpstr>
      <vt:lpstr>HEAT_TARIFF_G_DELETE_PERIOD_ROW_MARKER</vt:lpstr>
      <vt:lpstr>HEAT_TARIFF_G_FLAG_BLOCK_COLUMN_MARKER</vt:lpstr>
      <vt:lpstr>HEAT_TARIFF_G_FLAG_BLOCK_ROW_MARKER</vt:lpstr>
      <vt:lpstr>HEAT_TARIFF_G_NUM_CS_COLUMN_MARKER</vt:lpstr>
      <vt:lpstr>HEAT_TARIFF_G_NUM_DIAMETERS_COLUMN_MARKER</vt:lpstr>
      <vt:lpstr>HEAT_TARIFF_G_NUM_GC_COLUMN_MARKER</vt:lpstr>
      <vt:lpstr>HEAT_TARIFF_G_NUM_IST_TE_COLUMN_MARKER</vt:lpstr>
      <vt:lpstr>HEAT_TARIFF_G_NUM_LOAD_COLUMN_MARKER</vt:lpstr>
      <vt:lpstr>HEAT_TARIFF_G_NUM_NETS_COLUMN_MARKER</vt:lpstr>
      <vt:lpstr>HEAT_TARIFF_G_NUM_NTAR_COLUMN_MARKER</vt:lpstr>
      <vt:lpstr>HEAT_TARIFF_G_NUM_SCHEME_COLUMN_MARKER</vt:lpstr>
      <vt:lpstr>HEAT_TARIFF_G_NUM_TER_COLUMN_MARKER</vt:lpstr>
      <vt:lpstr>HEAT_TARIFF_G_NUM_TN_COLUMN_MARKER</vt:lpstr>
      <vt:lpstr>HEAT_TARIFF_H_ADD_HL_COLUMN_MARKER</vt:lpstr>
      <vt:lpstr>HEAT_TARIFF_H_ADD_HL_DIAMETERS_COLUMN_MARKER</vt:lpstr>
      <vt:lpstr>HEAT_TARIFF_H_ADD_HL_LOAD_COLUMN_MARKER</vt:lpstr>
      <vt:lpstr>HEAT_TARIFF_H_ADD_HL_NETS_COLUMN_MARKER</vt:lpstr>
      <vt:lpstr>HEAT_TARIFF_H_DEL_HL_DIAMETERS_COLUMN_MARKER</vt:lpstr>
      <vt:lpstr>HEAT_TARIFF_H_DEL_HL_GC_COLUMN_MARKER</vt:lpstr>
      <vt:lpstr>HEAT_TARIFF_H_DEL_HL_LOAD_COLUMN_MARKER</vt:lpstr>
      <vt:lpstr>HEAT_TARIFF_H_DEL_HL_NETS_COLUMN_MARKER</vt:lpstr>
      <vt:lpstr>HEAT_TARIFF_H_DEL_HL_SCHEME_COLUMN_MARKER</vt:lpstr>
      <vt:lpstr>HEAT_TARIFF_H_DEL_HL_TN_COLUMN_MARKER</vt:lpstr>
      <vt:lpstr>HEAT_TARIFF_H_DELETE_PERIOD_ROW_MARKER</vt:lpstr>
      <vt:lpstr>HEAT_TARIFF_H_FLAG_BLOCK_COLUMN_MARKER</vt:lpstr>
      <vt:lpstr>HEAT_TARIFF_H_FLAG_BLOCK_ROW_MARKER</vt:lpstr>
      <vt:lpstr>HEAT_TARIFF_H_NUM_CS_COLUMN_MARKER</vt:lpstr>
      <vt:lpstr>HEAT_TARIFF_H_NUM_DIAMETERS_COLUMN_MARKER</vt:lpstr>
      <vt:lpstr>HEAT_TARIFF_H_NUM_GC_COLUMN_MARKER</vt:lpstr>
      <vt:lpstr>HEAT_TARIFF_H_NUM_IST_TE_COLUMN_MARKER</vt:lpstr>
      <vt:lpstr>HEAT_TARIFF_H_NUM_LOAD_COLUMN_MARKER</vt:lpstr>
      <vt:lpstr>HEAT_TARIFF_H_NUM_NETS_COLUMN_MARKER</vt:lpstr>
      <vt:lpstr>HEAT_TARIFF_H_NUM_NTAR_COLUMN_MARKER</vt:lpstr>
      <vt:lpstr>HEAT_TARIFF_H_NUM_SCHEME_COLUMN_MARKER</vt:lpstr>
      <vt:lpstr>HEAT_TARIFF_H_NUM_TER_COLUMN_MARKER</vt:lpstr>
      <vt:lpstr>HEAT_TARIFF_H_NUM_TN_COLUMN_MARKER</vt:lpstr>
      <vt:lpstr>HEAT_TARIFF_I_1_ADD_HL_COLUMN_MARKER</vt:lpstr>
      <vt:lpstr>HEAT_TARIFF_I_1_DEL_HL_GC_COLUMN_MARKER</vt:lpstr>
      <vt:lpstr>HEAT_TARIFF_I_1_DEL_HL_SCHEME_COLUMN_MARKER</vt:lpstr>
      <vt:lpstr>HEAT_TARIFF_I_1_DEL_HL_TN_COLUMN_MARKER</vt:lpstr>
      <vt:lpstr>HEAT_TARIFF_I_1_DELETE_PERIOD_ROW_MARKER</vt:lpstr>
      <vt:lpstr>HEAT_TARIFF_I_1_FLAG_BLOCK_COLUMN_MARKER</vt:lpstr>
      <vt:lpstr>HEAT_TARIFF_I_1_FLAG_BLOCK_ROW_MARKER</vt:lpstr>
      <vt:lpstr>HEAT_TARIFF_I_1_NUM_CS_COLUMN_MARKER</vt:lpstr>
      <vt:lpstr>HEAT_TARIFF_I_1_NUM_GC_COLUMN_MARKER</vt:lpstr>
      <vt:lpstr>HEAT_TARIFF_I_1_NUM_IST_TE_COLUMN_MARKER</vt:lpstr>
      <vt:lpstr>HEAT_TARIFF_I_1_NUM_NTAR_COLUMN_MARKER</vt:lpstr>
      <vt:lpstr>HEAT_TARIFF_I_1_NUM_SCHEME_COLUMN_MARKER</vt:lpstr>
      <vt:lpstr>HEAT_TARIFF_I_1_NUM_TER_COLUMN_MARKER</vt:lpstr>
      <vt:lpstr>HEAT_TARIFF_I_1_NUM_TN_COLUMN_MARKER</vt:lpstr>
      <vt:lpstr>HEAT_TARIFF_I_ADD_HL_COLUMN_MARKER</vt:lpstr>
      <vt:lpstr>HEAT_TARIFF_I_DEL_HL_GC_COLUMN_MARKER</vt:lpstr>
      <vt:lpstr>HEAT_TARIFF_I_DEL_HL_SCHEME_COLUMN_MARKER</vt:lpstr>
      <vt:lpstr>HEAT_TARIFF_I_DEL_HL_TN_COLUMN_MARKER</vt:lpstr>
      <vt:lpstr>HEAT_TARIFF_I_DELETE_PERIOD_ROW_MARKER</vt:lpstr>
      <vt:lpstr>HEAT_TARIFF_I_FLAG_BLOCK_COLUMN_MARKER</vt:lpstr>
      <vt:lpstr>HEAT_TARIFF_I_FLAG_BLOCK_ROW_MARKER</vt:lpstr>
      <vt:lpstr>HEAT_TARIFF_I_NUM_CS_COLUMN_MARKER</vt:lpstr>
      <vt:lpstr>HEAT_TARIFF_I_NUM_GC_COLUMN_MARKER</vt:lpstr>
      <vt:lpstr>HEAT_TARIFF_I_NUM_IST_TE_COLUMN_MARKER</vt:lpstr>
      <vt:lpstr>HEAT_TARIFF_I_NUM_NTAR_COLUMN_MARKER</vt:lpstr>
      <vt:lpstr>HEAT_TARIFF_I_NUM_SCHEME_COLUMN_MARKER</vt:lpstr>
      <vt:lpstr>HEAT_TARIFF_I_NUM_TER_COLUMN_MARKER</vt:lpstr>
      <vt:lpstr>HEAT_TARIFF_I_NUM_TN_COLUMN_MARKER</vt:lpstr>
      <vt:lpstr>HOTVSNA_FIN_SRC_LIST</vt:lpstr>
      <vt:lpstr>HOTVSNA_FIN_SRC_VLD_LIST</vt:lpstr>
      <vt:lpstr>HOTVSNA_IP_EVENT_CI_STAGE_LIST</vt:lpstr>
      <vt:lpstr>HOTVSNA_IP_EVENT_GROUP_LIST</vt:lpstr>
      <vt:lpstr>HOTVSNA_IP_EVENT_SUBGROUP_1_LIST</vt:lpstr>
      <vt:lpstr>HOTVSNA_IP_EVENT_SUBGROUP_3_LIST</vt:lpstr>
      <vt:lpstr>HOTVSNA_IP_EVENT_SUBGROUP_5_LIST</vt:lpstr>
      <vt:lpstr>HOTVSNA_IP_EVENT_TYPE_LIST</vt:lpstr>
      <vt:lpstr>HOTVSNA_PT_VED_ID</vt:lpstr>
      <vt:lpstr>HOTVSNA_PT_VED_NAME</vt:lpstr>
      <vt:lpstr>HOTVSNA_PT_VED_NAME_LIST</vt:lpstr>
      <vt:lpstr>HOTVSNA_TARIFF_A_HOTVSNA_ADD_HL_COLUMN_MARKER</vt:lpstr>
      <vt:lpstr>HOTVSNA_TARIFF_A_HOTVSNA_DEL_HL_DATA_DIFF_COLUMN_MARKER</vt:lpstr>
      <vt:lpstr>HOTVSNA_TARIFF_A_HOTVSNA_DEL_HL_FLAG_DIFF_COLUMN_MARKER</vt:lpstr>
      <vt:lpstr>HOTVSNA_TARIFF_A_HOTVSNA_DEL_HL_GC_COLUMN_MARKER</vt:lpstr>
      <vt:lpstr>HOTVSNA_TARIFF_A_HOTVSNA_DELETE_PERIOD_ROW_MARKER</vt:lpstr>
      <vt:lpstr>HOTVSNA_TARIFF_A_HOTVSNA_FLAG_BLOCK_COLUMN_MARKER</vt:lpstr>
      <vt:lpstr>HOTVSNA_TARIFF_A_HOTVSNA_FLAG_BLOCK_ROW_MARKER</vt:lpstr>
      <vt:lpstr>HOTVSNA_TARIFF_A_HOTVSNA_NUM_CS_COLUMN_MARKER</vt:lpstr>
      <vt:lpstr>HOTVSNA_TARIFF_A_HOTVSNA_NUM_DATA_DIFF_COLUMN_MARKER</vt:lpstr>
      <vt:lpstr>HOTVSNA_TARIFF_A_HOTVSNA_NUM_FLAG_DIFF_COLUMN_MARKER</vt:lpstr>
      <vt:lpstr>HOTVSNA_TARIFF_A_HOTVSNA_NUM_GC_COLUMN_MARKER</vt:lpstr>
      <vt:lpstr>HOTVSNA_TARIFF_A_HOTVSNA_NUM_NTAR_COLUMN_MARKER</vt:lpstr>
      <vt:lpstr>HOTVSNA_TARIFF_A_HOTVSNA_NUM_TER_COLUMN_MARKER</vt:lpstr>
      <vt:lpstr>HOTVSNA_TARIFF_B_HOTVSNA_ADD_HL_COLUMN_MARKER</vt:lpstr>
      <vt:lpstr>HOTVSNA_TARIFF_B_HOTVSNA_DEL_HL_DATA_DIFF_COLUMN_MARKER</vt:lpstr>
      <vt:lpstr>HOTVSNA_TARIFF_B_HOTVSNA_DEL_HL_FLAG_DIFF_COLUMN_MARKER</vt:lpstr>
      <vt:lpstr>HOTVSNA_TARIFF_B_HOTVSNA_DEL_HL_GC_COLUMN_MARKER</vt:lpstr>
      <vt:lpstr>HOTVSNA_TARIFF_B_HOTVSNA_DELETE_PERIOD_ROW_MARKER</vt:lpstr>
      <vt:lpstr>HOTVSNA_TARIFF_B_HOTVSNA_FLAG_BLOCK_COLUMN_MARKER</vt:lpstr>
      <vt:lpstr>HOTVSNA_TARIFF_B_HOTVSNA_FLAG_BLOCK_ROW_MARKER</vt:lpstr>
      <vt:lpstr>HOTVSNA_TARIFF_B_HOTVSNA_NUM_CS_COLUMN_MARKER</vt:lpstr>
      <vt:lpstr>HOTVSNA_TARIFF_B_HOTVSNA_NUM_DATA_DIFF_COLUMN_MARKER</vt:lpstr>
      <vt:lpstr>HOTVSNA_TARIFF_B_HOTVSNA_NUM_FLAG_DIFF_COLUMN_MARKER</vt:lpstr>
      <vt:lpstr>HOTVSNA_TARIFF_B_HOTVSNA_NUM_GC_COLUMN_MARKER</vt:lpstr>
      <vt:lpstr>HOTVSNA_TARIFF_B_HOTVSNA_NUM_NTAR_COLUMN_MARKER</vt:lpstr>
      <vt:lpstr>HOTVSNA_TARIFF_B_HOTVSNA_NUM_TER_COLUMN_MARKER</vt:lpstr>
      <vt:lpstr>HOTVSNA_TARIFF_C_HOTVSNA_ADD_HL_COLUMN_MARKER</vt:lpstr>
      <vt:lpstr>HOTVSNA_TARIFF_C_HOTVSNA_ADD_HL_DIAMETERS_COLUMN_MARKER</vt:lpstr>
      <vt:lpstr>HOTVSNA_TARIFF_C_HOTVSNA_ADD_HL_LEN_COLUMN_MARKER</vt:lpstr>
      <vt:lpstr>HOTVSNA_TARIFF_C_HOTVSNA_ADD_HL_LOAD_COLUMN_MARKER</vt:lpstr>
      <vt:lpstr>HOTVSNA_TARIFF_C_HOTVSNA_ADD_HL_NETS_COLUMN_MARKER</vt:lpstr>
      <vt:lpstr>HOTVSNA_TARIFF_C_HOTVSNA_DEL_HL_DATA_DIFF_COLUMN_MARKER</vt:lpstr>
      <vt:lpstr>HOTVSNA_TARIFF_C_HOTVSNA_DEL_HL_DIAMETERS_COLUMN_MARKER</vt:lpstr>
      <vt:lpstr>HOTVSNA_TARIFF_C_HOTVSNA_DEL_HL_FLAG_DIFF_COLUMN_MARKER</vt:lpstr>
      <vt:lpstr>HOTVSNA_TARIFF_C_HOTVSNA_DEL_HL_GC_COLUMN_MARKER</vt:lpstr>
      <vt:lpstr>HOTVSNA_TARIFF_C_HOTVSNA_DEL_HL_LEN_COLUMN_MARKER</vt:lpstr>
      <vt:lpstr>HOTVSNA_TARIFF_C_HOTVSNA_DEL_HL_LOAD_COLUMN_MARKER</vt:lpstr>
      <vt:lpstr>HOTVSNA_TARIFF_C_HOTVSNA_DEL_HL_NETS_COLUMN_MARKER</vt:lpstr>
      <vt:lpstr>HOTVSNA_TARIFF_C_HOTVSNA_DELETE_PERIOD_ROW_MARKER</vt:lpstr>
      <vt:lpstr>HOTVSNA_TARIFF_C_HOTVSNA_FLAG_BLOCK_COLUMN_MARKER</vt:lpstr>
      <vt:lpstr>HOTVSNA_TARIFF_C_HOTVSNA_FLAG_BLOCK_ROW_MARKER</vt:lpstr>
      <vt:lpstr>HOTVSNA_TARIFF_C_HOTVSNA_NUM_CS_COLUMN_MARKER</vt:lpstr>
      <vt:lpstr>HOTVSNA_TARIFF_C_HOTVSNA_NUM_DATA_DIFF_COLUMN_MARKER</vt:lpstr>
      <vt:lpstr>HOTVSNA_TARIFF_C_HOTVSNA_NUM_DIAMETERS_COLUMN_MARKER</vt:lpstr>
      <vt:lpstr>HOTVSNA_TARIFF_C_HOTVSNA_NUM_FLAG_DIFF_COLUMN_MARKER</vt:lpstr>
      <vt:lpstr>HOTVSNA_TARIFF_C_HOTVSNA_NUM_GC_COLUMN_MARKER</vt:lpstr>
      <vt:lpstr>HOTVSNA_TARIFF_C_HOTVSNA_NUM_LEN_COLUMN_MARKER</vt:lpstr>
      <vt:lpstr>HOTVSNA_TARIFF_C_HOTVSNA_NUM_LOAD_COLUMN_MARKER</vt:lpstr>
      <vt:lpstr>HOTVSNA_TARIFF_C_HOTVSNA_NUM_NETS_COLUMN_MARKER</vt:lpstr>
      <vt:lpstr>HOTVSNA_TARIFF_C_HOTVSNA_NUM_NTAR_COLUMN_MARKER</vt:lpstr>
      <vt:lpstr>HOTVSNA_TARIFF_C_HOTVSNA_NUM_TER_COLUMN_MARKER</vt:lpstr>
      <vt:lpstr>Info_Diff</vt:lpstr>
      <vt:lpstr>Info_Diff1</vt:lpstr>
      <vt:lpstr>Info_FilFlag</vt:lpstr>
      <vt:lpstr>Info_ForMOInListMO</vt:lpstr>
      <vt:lpstr>Info_ForMRInListMO</vt:lpstr>
      <vt:lpstr>Info_ForSKIInListMO</vt:lpstr>
      <vt:lpstr>Info_ForSKINumberInListMO</vt:lpstr>
      <vt:lpstr>Info_NoteStandarts</vt:lpstr>
      <vt:lpstr>Info_NoUpdates</vt:lpstr>
      <vt:lpstr>Info_PeriodInTitle</vt:lpstr>
      <vt:lpstr>Info_PrDiff</vt:lpstr>
      <vt:lpstr>Info_PublicationNotDisclosed</vt:lpstr>
      <vt:lpstr>Info_PublicationPdf</vt:lpstr>
      <vt:lpstr>Info_PublicationWeb</vt:lpstr>
      <vt:lpstr>Info_T_Podkl</vt:lpstr>
      <vt:lpstr>Info_TarName</vt:lpstr>
      <vt:lpstr>Info_TerExcludeHelp_1</vt:lpstr>
      <vt:lpstr>Info_TerExcludeHelp_2</vt:lpstr>
      <vt:lpstr>Info_TitleFil</vt:lpstr>
      <vt:lpstr>Info_TitleFlagCrossSubsidization</vt:lpstr>
      <vt:lpstr>Info_TitleFlagIstPubl</vt:lpstr>
      <vt:lpstr>Info_TitleFlagTwoPartTariff</vt:lpstr>
      <vt:lpstr>Info_TitleGroupRates</vt:lpstr>
      <vt:lpstr>Info_TitleKindPublication</vt:lpstr>
      <vt:lpstr>Info_TitleKindsOfGoods</vt:lpstr>
      <vt:lpstr>Info_TitlePublication</vt:lpstr>
      <vt:lpstr>Info_TitleType</vt:lpstr>
      <vt:lpstr>inn</vt:lpstr>
      <vt:lpstr>IP_CLAIM_LIST</vt:lpstr>
      <vt:lpstr>IP_DETAILED_ADD_HL_EVENT_COLUMN_MARKER</vt:lpstr>
      <vt:lpstr>IP_DETAILED_ADD_HL_IST_FIN_COLUMN_MARKER</vt:lpstr>
      <vt:lpstr>IP_DETAILED_ADD_HL_OBJECT_COLUMN_MARKER</vt:lpstr>
      <vt:lpstr>IP_DETAILED_DATA_KS</vt:lpstr>
      <vt:lpstr>IP_DETAILED_EVENT_MARKER</vt:lpstr>
      <vt:lpstr>IP_DETAILED_EVENT_SUBGROUP_COLUMN_MARKER</vt:lpstr>
      <vt:lpstr>IP_DETAILED_EVENT_SUBGROUP_RANGE_COLUMN_MARKER</vt:lpstr>
      <vt:lpstr>IP_DETAILED_FLAG_KS</vt:lpstr>
      <vt:lpstr>IP_DETAILED_FLAG_OBJECT</vt:lpstr>
      <vt:lpstr>IP_DETAILED_GROUP_MARKER</vt:lpstr>
      <vt:lpstr>IP_DETAILED_IST_FIN_FACT_COLUMN_MARKER</vt:lpstr>
      <vt:lpstr>IP_DETAILED_LIST_IP_ID</vt:lpstr>
      <vt:lpstr>IP_DETAILED_MONTH_FACT_COLUMN_MARKER</vt:lpstr>
      <vt:lpstr>IP_DETAILED_MONTH_PLAN_COLUMN_MARKER</vt:lpstr>
      <vt:lpstr>IP_DETAILED_NAME_EVENT_COLUMN_MARKER</vt:lpstr>
      <vt:lpstr>IP_DETAILED_YEAR_FACT_COLUMN_MARKER</vt:lpstr>
      <vt:lpstr>IP_DETAILED_YEAR_PLAN_COLUMN_MARKER</vt:lpstr>
      <vt:lpstr>IP_FIN_PLAN_LIST_ID_MARKER_ROW</vt:lpstr>
      <vt:lpstr>IP_FIN_PLAN_NAME_IP_MARKER_ROW</vt:lpstr>
      <vt:lpstr>IP_FIN_PLAN_YEAR_MARKER_ROW</vt:lpstr>
      <vt:lpstr>IP_ID</vt:lpstr>
      <vt:lpstr>IP_MAIN_ADD_HL_PROPERTY_COLUMN_MARKER</vt:lpstr>
      <vt:lpstr>IP_MAIN_APPROVAL_DATE</vt:lpstr>
      <vt:lpstr>IP_MAIN_CHANGE_DATE</vt:lpstr>
      <vt:lpstr>IP_MAIN_CLAIM</vt:lpstr>
      <vt:lpstr>IP_MAIN_DATE_PARKING</vt:lpstr>
      <vt:lpstr>IP_MAIN_DELETE_HL_COLUMN_MARKER</vt:lpstr>
      <vt:lpstr>IP_MAIN_DIFFERENTIATION_EVENTS_FLAG</vt:lpstr>
      <vt:lpstr>IP_MAIN_END_DATE</vt:lpstr>
      <vt:lpstr>IP_MAIN_FLAG_KS</vt:lpstr>
      <vt:lpstr>IP_MAIN_FLAG_KS_COLUMN_MARKER</vt:lpstr>
      <vt:lpstr>IP_MAIN_IP_FIN_PLAN_VISIBLE_FLAG</vt:lpstr>
      <vt:lpstr>IP_MAIN_LIST_IP_ID</vt:lpstr>
      <vt:lpstr>IP_MAIN_LIST_NAME_IP</vt:lpstr>
      <vt:lpstr>IP_MAIN_PERIOD_REALIZ_DATE</vt:lpstr>
      <vt:lpstr>IP_MAIN_PR_IP_CHANGE_DATE</vt:lpstr>
      <vt:lpstr>IP_MAIN_PR_IP_DATE</vt:lpstr>
      <vt:lpstr>IP_MAIN_PR_IP_NAME</vt:lpstr>
      <vt:lpstr>IP_MAIN_PR_IP_NUMBER</vt:lpstr>
      <vt:lpstr>IP_MAIN_PR_IP_TYPE</vt:lpstr>
      <vt:lpstr>IP_MAIN_START_DATE</vt:lpstr>
      <vt:lpstr>IP_NAME_FORM</vt:lpstr>
      <vt:lpstr>IP_QRE_ADD_HL_CLAIM_COLUMN_MARKER</vt:lpstr>
      <vt:lpstr>IP_QRE_ADD_HL_COLUMN_MARKER</vt:lpstr>
      <vt:lpstr>IP_QRE_DELETE_HL_COLUMN_MARKER</vt:lpstr>
      <vt:lpstr>IP_QRE_LIST_IP_ID</vt:lpstr>
      <vt:lpstr>IP_QRE_NUM_COLUMN_MARKER</vt:lpstr>
      <vt:lpstr>IP_QRE_OTKO_FEATURES_BLOCK</vt:lpstr>
      <vt:lpstr>IP_QRE_VOTV_FEATURES_BLOCK</vt:lpstr>
      <vt:lpstr>IP_QRE_VSNA_FEATURES_BLOCK</vt:lpstr>
      <vt:lpstr>IP_QRE_WARM_FEATURES_BLOCK</vt:lpstr>
      <vt:lpstr>IST_TE_ID</vt:lpstr>
      <vt:lpstr>kind_group_rates</vt:lpstr>
      <vt:lpstr>kind_group_rates_load</vt:lpstr>
      <vt:lpstr>kind_group_rates_load_ETS</vt:lpstr>
      <vt:lpstr>kind_group_rates_load_filter</vt:lpstr>
      <vt:lpstr>kind_group_rates_load_filter_ETS</vt:lpstr>
      <vt:lpstr>kind_of_activity_WARM</vt:lpstr>
      <vt:lpstr>kind_of_cons</vt:lpstr>
      <vt:lpstr>kind_of_control_method</vt:lpstr>
      <vt:lpstr>kind_of_control_method_filter</vt:lpstr>
      <vt:lpstr>kind_of_data_type</vt:lpstr>
      <vt:lpstr>kind_of_diameters</vt:lpstr>
      <vt:lpstr>kind_of_diameters2</vt:lpstr>
      <vt:lpstr>kind_of_diff</vt:lpstr>
      <vt:lpstr>kind_of_fuel</vt:lpstr>
      <vt:lpstr>kind_of_fuels</vt:lpstr>
      <vt:lpstr>kind_of_heat_transfer</vt:lpstr>
      <vt:lpstr>kind_of_heat_transfer2</vt:lpstr>
      <vt:lpstr>kind_of_heat_transfer3</vt:lpstr>
      <vt:lpstr>kind_of_load</vt:lpstr>
      <vt:lpstr>kind_of_load2</vt:lpstr>
      <vt:lpstr>kind_of_load3</vt:lpstr>
      <vt:lpstr>kind_of_load4</vt:lpstr>
      <vt:lpstr>kind_of_NDS</vt:lpstr>
      <vt:lpstr>kind_of_NDS_tariff</vt:lpstr>
      <vt:lpstr>kind_of_NDS_tariff_people</vt:lpstr>
      <vt:lpstr>kind_of_nets</vt:lpstr>
      <vt:lpstr>kind_of_org_type</vt:lpstr>
      <vt:lpstr>kind_of_power_te_unit</vt:lpstr>
      <vt:lpstr>kind_of_publication</vt:lpstr>
      <vt:lpstr>kind_of_purchase_method</vt:lpstr>
      <vt:lpstr>kind_of_scheme_in</vt:lpstr>
      <vt:lpstr>kind_of_scheme_in2</vt:lpstr>
      <vt:lpstr>kind_of_tariff_RHEAT</vt:lpstr>
      <vt:lpstr>kind_of_tariff_unit</vt:lpstr>
      <vt:lpstr>kind_of_unit</vt:lpstr>
      <vt:lpstr>kind_of_volume_te_unit</vt:lpstr>
      <vt:lpstr>kind_of_zak</vt:lpstr>
      <vt:lpstr>KNE_NAME_FORM</vt:lpstr>
      <vt:lpstr>kpp</vt:lpstr>
      <vt:lpstr>LINK_RANGE</vt:lpstr>
      <vt:lpstr>List_H</vt:lpstr>
      <vt:lpstr>List_M</vt:lpstr>
      <vt:lpstr>LIST_MR_MO_OKTMO</vt:lpstr>
      <vt:lpstr>LIST_MR_MO_OKTMO_FILTER</vt:lpstr>
      <vt:lpstr>ListForms</vt:lpstr>
      <vt:lpstr>logical</vt:lpstr>
      <vt:lpstr>MONTH</vt:lpstr>
      <vt:lpstr>MONTH_IP_LIST</vt:lpstr>
      <vt:lpstr>nalog</vt:lpstr>
      <vt:lpstr>name_rates_4</vt:lpstr>
      <vt:lpstr>name_rates_4_filter</vt:lpstr>
      <vt:lpstr>name_rates_8</vt:lpstr>
      <vt:lpstr>name_rates_8_filter</vt:lpstr>
      <vt:lpstr>NameTemplatesInListMO</vt:lpstr>
      <vt:lpstr>NameTemplatesInTitle</vt:lpstr>
      <vt:lpstr>NameTemplatesInTitleList</vt:lpstr>
      <vt:lpstr>NTAR_ID</vt:lpstr>
      <vt:lpstr>OFFER_DPR</vt:lpstr>
      <vt:lpstr>OFFER_METHOD</vt:lpstr>
      <vt:lpstr>OFFER_METHOD_FLAG</vt:lpstr>
      <vt:lpstr>OFFER_TARIFF_A_1</vt:lpstr>
      <vt:lpstr>OFFER_TARIFF_A_2</vt:lpstr>
      <vt:lpstr>OFFER_TARIFF_A_3</vt:lpstr>
      <vt:lpstr>OFFER_TARIFF_A_4</vt:lpstr>
      <vt:lpstr>OFFER_TARIFF_A_5</vt:lpstr>
      <vt:lpstr>OFFER_TARIFF_A_COLDVSNA_1</vt:lpstr>
      <vt:lpstr>OFFER_TARIFF_A_COLDVSNA_2</vt:lpstr>
      <vt:lpstr>OFFER_TARIFF_A_COLDVSNA_3</vt:lpstr>
      <vt:lpstr>OFFER_TARIFF_A_COLDVSNA_4</vt:lpstr>
      <vt:lpstr>OFFER_TARIFF_A_COLDVSNA_5</vt:lpstr>
      <vt:lpstr>OFFER_TARIFF_A_HOTVSNA_1</vt:lpstr>
      <vt:lpstr>OFFER_TARIFF_A_HOTVSNA_2</vt:lpstr>
      <vt:lpstr>OFFER_TARIFF_A_HOTVSNA_3</vt:lpstr>
      <vt:lpstr>OFFER_TARIFF_A_HOTVSNA_4</vt:lpstr>
      <vt:lpstr>OFFER_TARIFF_A_HOTVSNA_5</vt:lpstr>
      <vt:lpstr>OFFER_TARIFF_A_VOTV_1</vt:lpstr>
      <vt:lpstr>OFFER_TARIFF_A_VOTV_2</vt:lpstr>
      <vt:lpstr>OFFER_TARIFF_A_VOTV_3</vt:lpstr>
      <vt:lpstr>OFFER_TARIFF_A_VOTV_4</vt:lpstr>
      <vt:lpstr>OFFER_TARIFF_A_VOTV_5</vt:lpstr>
      <vt:lpstr>OFFER_TARIFF_B_1</vt:lpstr>
      <vt:lpstr>OFFER_TARIFF_B_2</vt:lpstr>
      <vt:lpstr>OFFER_TARIFF_B_3</vt:lpstr>
      <vt:lpstr>OFFER_TARIFF_B_4</vt:lpstr>
      <vt:lpstr>OFFER_TARIFF_B_5</vt:lpstr>
      <vt:lpstr>OFFER_TARIFF_B_COLDVSNA_1</vt:lpstr>
      <vt:lpstr>OFFER_TARIFF_B_COLDVSNA_2</vt:lpstr>
      <vt:lpstr>OFFER_TARIFF_B_COLDVSNA_3</vt:lpstr>
      <vt:lpstr>OFFER_TARIFF_B_COLDVSNA_4</vt:lpstr>
      <vt:lpstr>OFFER_TARIFF_B_COLDVSNA_5</vt:lpstr>
      <vt:lpstr>OFFER_TARIFF_B_HOTVSNA_1</vt:lpstr>
      <vt:lpstr>OFFER_TARIFF_B_HOTVSNA_2</vt:lpstr>
      <vt:lpstr>OFFER_TARIFF_B_HOTVSNA_3</vt:lpstr>
      <vt:lpstr>OFFER_TARIFF_B_HOTVSNA_4</vt:lpstr>
      <vt:lpstr>OFFER_TARIFF_B_HOTVSNA_5</vt:lpstr>
      <vt:lpstr>OFFER_TARIFF_B_VOTV_1</vt:lpstr>
      <vt:lpstr>OFFER_TARIFF_B_VOTV_2</vt:lpstr>
      <vt:lpstr>OFFER_TARIFF_B_VOTV_3</vt:lpstr>
      <vt:lpstr>OFFER_TARIFF_B_VOTV_4</vt:lpstr>
      <vt:lpstr>OFFER_TARIFF_B_VOTV_5</vt:lpstr>
      <vt:lpstr>OFFER_TARIFF_C_1</vt:lpstr>
      <vt:lpstr>OFFER_TARIFF_C_2</vt:lpstr>
      <vt:lpstr>OFFER_TARIFF_C_3</vt:lpstr>
      <vt:lpstr>OFFER_TARIFF_C_4</vt:lpstr>
      <vt:lpstr>OFFER_TARIFF_C_5</vt:lpstr>
      <vt:lpstr>OFFER_TARIFF_C_COLDVSNA_1</vt:lpstr>
      <vt:lpstr>OFFER_TARIFF_C_COLDVSNA_2</vt:lpstr>
      <vt:lpstr>OFFER_TARIFF_C_COLDVSNA_3</vt:lpstr>
      <vt:lpstr>OFFER_TARIFF_C_COLDVSNA_4</vt:lpstr>
      <vt:lpstr>OFFER_TARIFF_C_COLDVSNA_5</vt:lpstr>
      <vt:lpstr>OFFER_TARIFF_C_HOTVSNA_1</vt:lpstr>
      <vt:lpstr>OFFER_TARIFF_C_HOTVSNA_2</vt:lpstr>
      <vt:lpstr>OFFER_TARIFF_C_HOTVSNA_3</vt:lpstr>
      <vt:lpstr>OFFER_TARIFF_C_HOTVSNA_4</vt:lpstr>
      <vt:lpstr>OFFER_TARIFF_C_HOTVSNA_5</vt:lpstr>
      <vt:lpstr>OFFER_TARIFF_C_VOTV_1</vt:lpstr>
      <vt:lpstr>OFFER_TARIFF_C_VOTV_2</vt:lpstr>
      <vt:lpstr>OFFER_TARIFF_C_VOTV_3</vt:lpstr>
      <vt:lpstr>OFFER_TARIFF_C_VOTV_4</vt:lpstr>
      <vt:lpstr>OFFER_TARIFF_C_VOTV_5</vt:lpstr>
      <vt:lpstr>OFFER_TARIFF_D_1</vt:lpstr>
      <vt:lpstr>OFFER_TARIFF_D_2</vt:lpstr>
      <vt:lpstr>OFFER_TARIFF_D_3</vt:lpstr>
      <vt:lpstr>OFFER_TARIFF_D_4</vt:lpstr>
      <vt:lpstr>OFFER_TARIFF_D_5</vt:lpstr>
      <vt:lpstr>OFFER_TARIFF_D_COLDVSNA_1</vt:lpstr>
      <vt:lpstr>OFFER_TARIFF_D_COLDVSNA_2</vt:lpstr>
      <vt:lpstr>OFFER_TARIFF_D_COLDVSNA_3</vt:lpstr>
      <vt:lpstr>OFFER_TARIFF_D_COLDVSNA_4</vt:lpstr>
      <vt:lpstr>OFFER_TARIFF_D_COLDVSNA_5</vt:lpstr>
      <vt:lpstr>OFFER_TARIFF_E_COLDVSNA_1</vt:lpstr>
      <vt:lpstr>OFFER_TARIFF_E_COLDVSNA_2</vt:lpstr>
      <vt:lpstr>OFFER_TARIFF_E_COLDVSNA_3</vt:lpstr>
      <vt:lpstr>OFFER_TARIFF_E_COLDVSNA_4</vt:lpstr>
      <vt:lpstr>OFFER_TARIFF_E_COLDVSNA_5</vt:lpstr>
      <vt:lpstr>OFFER_TARIFF_E1_1</vt:lpstr>
      <vt:lpstr>OFFER_TARIFF_E1_2</vt:lpstr>
      <vt:lpstr>OFFER_TARIFF_E1_3</vt:lpstr>
      <vt:lpstr>OFFER_TARIFF_E1_4</vt:lpstr>
      <vt:lpstr>OFFER_TARIFF_E1_5</vt:lpstr>
      <vt:lpstr>OFFER_TARIFF_E2_1</vt:lpstr>
      <vt:lpstr>OFFER_TARIFF_E2_2</vt:lpstr>
      <vt:lpstr>OFFER_TARIFF_E2_3</vt:lpstr>
      <vt:lpstr>OFFER_TARIFF_E2_4</vt:lpstr>
      <vt:lpstr>OFFER_TARIFF_E2_5</vt:lpstr>
      <vt:lpstr>OFFER_TARIFF_F_1</vt:lpstr>
      <vt:lpstr>OFFER_TARIFF_F_2</vt:lpstr>
      <vt:lpstr>OFFER_TARIFF_F_3</vt:lpstr>
      <vt:lpstr>OFFER_TARIFF_F_4</vt:lpstr>
      <vt:lpstr>OFFER_TARIFF_F_5</vt:lpstr>
      <vt:lpstr>OFFER_TARIFF_G_1</vt:lpstr>
      <vt:lpstr>OFFER_TARIFF_G_2</vt:lpstr>
      <vt:lpstr>OFFER_TARIFF_G_3</vt:lpstr>
      <vt:lpstr>OFFER_TARIFF_G_4</vt:lpstr>
      <vt:lpstr>OFFER_TARIFF_G_5</vt:lpstr>
      <vt:lpstr>OFFER_TARIFF_H_1</vt:lpstr>
      <vt:lpstr>org</vt:lpstr>
      <vt:lpstr>Org_Address</vt:lpstr>
      <vt:lpstr>ORG_END_DATE</vt:lpstr>
      <vt:lpstr>ORG_INFO_DATE_OGRN</vt:lpstr>
      <vt:lpstr>ORG_INFO_DATE_PARKING</vt:lpstr>
      <vt:lpstr>ORG_INFO_DATE_UNI_TS</vt:lpstr>
      <vt:lpstr>ORG_INFO_EMAIL</vt:lpstr>
      <vt:lpstr>ORG_INFO_ET</vt:lpstr>
      <vt:lpstr>ORG_INFO_ET_CYAN</vt:lpstr>
      <vt:lpstr>ORG_INFO_FLAG_INVEST</vt:lpstr>
      <vt:lpstr>ORG_INFO_NAME_FORM</vt:lpstr>
      <vt:lpstr>ORG_INFO_P_NOTE_MAIN</vt:lpstr>
      <vt:lpstr>ORG_INFO_RESP_EMAIL</vt:lpstr>
      <vt:lpstr>ORG_INFO_URL</vt:lpstr>
      <vt:lpstr>Org_main</vt:lpstr>
      <vt:lpstr>ORG_START_DATE</vt:lpstr>
      <vt:lpstr>ORG_TERRITORY_FIRST_MO</vt:lpstr>
      <vt:lpstr>ORG_TERRITORY_FLAG_INTERNET</vt:lpstr>
      <vt:lpstr>ORG_TERRITORY_LINK</vt:lpstr>
      <vt:lpstr>ORG_TERRITORY_NAME_COL</vt:lpstr>
      <vt:lpstr>ORG_TERRITORY_POINT_NUMBER_1</vt:lpstr>
      <vt:lpstr>ORG_VD_EM</vt:lpstr>
      <vt:lpstr>ORG_VD_FIRST_ROW</vt:lpstr>
      <vt:lpstr>ORG_VD_FIRST_SYSTEM</vt:lpstr>
      <vt:lpstr>ORG_VD_NAME_FORM</vt:lpstr>
      <vt:lpstr>ORG_VD_SYSTEM</vt:lpstr>
      <vt:lpstr>ORG_VD_TKO_ADD_HL_ACTIVITY_COLUMN_MARKER</vt:lpstr>
      <vt:lpstr>ORG_VD_TKO_ADD_HL_TYPE_OBJECT_COLUMN_MARKER</vt:lpstr>
      <vt:lpstr>ORG_VD_TKO_DEL_HL_ACTIVITY_COLUMN_MARKER</vt:lpstr>
      <vt:lpstr>ORG_VD_TKO_DEL_HL_TYPE_OBJECT_COLUMN_MARKER</vt:lpstr>
      <vt:lpstr>ORG_VD_TKO_VD</vt:lpstr>
      <vt:lpstr>ORG_VD_TKO_VD_ID</vt:lpstr>
      <vt:lpstr>ORG_VD_VD</vt:lpstr>
      <vt:lpstr>ORG_VD_VD_ID</vt:lpstr>
      <vt:lpstr>OTKO_FIN_SRC_LIST</vt:lpstr>
      <vt:lpstr>OTKO_FIN_SRC_VLD_LIST</vt:lpstr>
      <vt:lpstr>OTKO_IP_EVENT_CI_STAGE_LIST</vt:lpstr>
      <vt:lpstr>OTKO_IP_EVENT_GROUP_LIST</vt:lpstr>
      <vt:lpstr>OTKO_IP_EVENT_TYPE_LIST</vt:lpstr>
      <vt:lpstr>otv_lico_name</vt:lpstr>
      <vt:lpstr>P_T_TERMS_LINK</vt:lpstr>
      <vt:lpstr>pCng_P_T_TERMS_1</vt:lpstr>
      <vt:lpstr>pCng_P_T_TERMS_2</vt:lpstr>
      <vt:lpstr>pCng_P_T_TERMS_3</vt:lpstr>
      <vt:lpstr>pCng_P_T_TERMS_4</vt:lpstr>
      <vt:lpstr>pDel_B_STANDARTS</vt:lpstr>
      <vt:lpstr>pDel_CHANGE_INFO</vt:lpstr>
      <vt:lpstr>pDel_Comm</vt:lpstr>
      <vt:lpstr>pDel_DIFFERENTIATION_AREA</vt:lpstr>
      <vt:lpstr>pDel_DIFFERENTIATION_SYSTEM</vt:lpstr>
      <vt:lpstr>pDel_DIFFERENTIATION_VD</vt:lpstr>
      <vt:lpstr>pDel_ED</vt:lpstr>
      <vt:lpstr>pDel_IP_DETAILED_EVENT</vt:lpstr>
      <vt:lpstr>pDel_IP_DETAILED_IST_FIN</vt:lpstr>
      <vt:lpstr>pDel_IP_DETAILED_OBJECT</vt:lpstr>
      <vt:lpstr>pDel_IP_MAIN</vt:lpstr>
      <vt:lpstr>pDel_IP_MAIN_PROPERTY</vt:lpstr>
      <vt:lpstr>pDel_IP_QRE_CLAIM</vt:lpstr>
      <vt:lpstr>pDel_List07</vt:lpstr>
      <vt:lpstr>pDel_LT_AREA</vt:lpstr>
      <vt:lpstr>pDel_LT_MO</vt:lpstr>
      <vt:lpstr>pDel_ORG_INFO</vt:lpstr>
      <vt:lpstr>pDel_ORG_TERRITORY</vt:lpstr>
      <vt:lpstr>pDel_ORG_VD</vt:lpstr>
      <vt:lpstr>pDel_P_PROCEDURE_TC</vt:lpstr>
      <vt:lpstr>pDel_P_T_TERMS</vt:lpstr>
      <vt:lpstr>pDel_Q_LIMIT</vt:lpstr>
      <vt:lpstr>pDel_Q_TP</vt:lpstr>
      <vt:lpstr>pDel_R_B_Purch</vt:lpstr>
      <vt:lpstr>periodEnd</vt:lpstr>
      <vt:lpstr>PeriodIsEmpty</vt:lpstr>
      <vt:lpstr>PeriodIsEmptyList</vt:lpstr>
      <vt:lpstr>periodStart</vt:lpstr>
      <vt:lpstr>pHeader_B_FHD</vt:lpstr>
      <vt:lpstr>pHeader_B_FHD_TKO</vt:lpstr>
      <vt:lpstr>pHeader_B_FHD_TKO_TRANS</vt:lpstr>
      <vt:lpstr>pHeader_B_KNE</vt:lpstr>
      <vt:lpstr>pHeader_B_OTEP</vt:lpstr>
      <vt:lpstr>pHeader_Q_LIMIT</vt:lpstr>
      <vt:lpstr>pHeader_Q_PH</vt:lpstr>
      <vt:lpstr>pHeader_Q_TP</vt:lpstr>
      <vt:lpstr>pHeader_ver_B_FHD</vt:lpstr>
      <vt:lpstr>pHeader_ver_B_FHD_TKO</vt:lpstr>
      <vt:lpstr>pHeader_ver_B_FHD_TKO_TRANS</vt:lpstr>
      <vt:lpstr>pHeader_ver_B_KNE</vt:lpstr>
      <vt:lpstr>pHeader_ver_B_OTEP</vt:lpstr>
      <vt:lpstr>pHeader_ver_P_PROCEDURE_TC</vt:lpstr>
      <vt:lpstr>pHeader_ver_Q_LIMIT</vt:lpstr>
      <vt:lpstr>pIns_B_FHD_1</vt:lpstr>
      <vt:lpstr>pIns_B_FHD_2</vt:lpstr>
      <vt:lpstr>pIns_B_FHD_3</vt:lpstr>
      <vt:lpstr>pIns_B_FHD_4</vt:lpstr>
      <vt:lpstr>pIns_B_FHD_5</vt:lpstr>
      <vt:lpstr>pIns_B_FHD_6</vt:lpstr>
      <vt:lpstr>pIns_B_FHD_DIFFERENTIATION</vt:lpstr>
      <vt:lpstr>pIns_B_FHD_TKO_2</vt:lpstr>
      <vt:lpstr>pIns_B_FHD_TKO_DIFFERENTIATION</vt:lpstr>
      <vt:lpstr>pIns_B_FHD_TKO_TRANS_2</vt:lpstr>
      <vt:lpstr>pIns_B_FHD_TKO_TRANS_DIFFERENTIATION</vt:lpstr>
      <vt:lpstr>pIns_B_FHD20_DIFFERENTIATION</vt:lpstr>
      <vt:lpstr>pIns_B_KNE_DIFFERENTIATION</vt:lpstr>
      <vt:lpstr>pIns_B_OTEP_2</vt:lpstr>
      <vt:lpstr>pIns_B_OTEP_DIFFERENTIATION</vt:lpstr>
      <vt:lpstr>pIns_B_STANDARTS</vt:lpstr>
      <vt:lpstr>pIns_CHANGE_INFO</vt:lpstr>
      <vt:lpstr>pIns_Comm</vt:lpstr>
      <vt:lpstr>pIns_ED</vt:lpstr>
      <vt:lpstr>pIns_IP_DETAILED</vt:lpstr>
      <vt:lpstr>pIns_IP_FIN_PLAN</vt:lpstr>
      <vt:lpstr>pIns_IP_MAIN</vt:lpstr>
      <vt:lpstr>pIns_IP_QRE</vt:lpstr>
      <vt:lpstr>pIns_List07</vt:lpstr>
      <vt:lpstr>pIns_LT_AREA</vt:lpstr>
      <vt:lpstr>pIns_ORG_INFO_1</vt:lpstr>
      <vt:lpstr>pIns_ORG_INFO_2</vt:lpstr>
      <vt:lpstr>pIns_ORG_INFO_3</vt:lpstr>
      <vt:lpstr>pIns_ORG_TERRITORY</vt:lpstr>
      <vt:lpstr>pIns_ORG_VD_1</vt:lpstr>
      <vt:lpstr>pIns_ORG_VD_2</vt:lpstr>
      <vt:lpstr>pIns_ORG_VD_TKO_1</vt:lpstr>
      <vt:lpstr>pIns_P_PROCEDURE_TC_1</vt:lpstr>
      <vt:lpstr>pIns_P_PROCEDURE_TC_2</vt:lpstr>
      <vt:lpstr>pIns_P_PROCEDURE_TC_3</vt:lpstr>
      <vt:lpstr>pIns_P_PROCEDURE_TC_4</vt:lpstr>
      <vt:lpstr>pIns_P_PROCEDURE_TC_5</vt:lpstr>
      <vt:lpstr>pIns_P_T_TERMS_1</vt:lpstr>
      <vt:lpstr>pIns_P_T_TERMS_2</vt:lpstr>
      <vt:lpstr>pIns_P_T_TERMS_3</vt:lpstr>
      <vt:lpstr>pIns_P_T_TERMS_4</vt:lpstr>
      <vt:lpstr>pIns_PT_VTAR_A</vt:lpstr>
      <vt:lpstr>pIns_PT_VTAR_A_COLDVSNA</vt:lpstr>
      <vt:lpstr>pIns_PT_VTAR_A_COLDVSNA_OFFER_1</vt:lpstr>
      <vt:lpstr>pIns_PT_VTAR_A_COLDVSNA_OFFER_2</vt:lpstr>
      <vt:lpstr>pIns_PT_VTAR_A_COLDVSNA_OFFER_3</vt:lpstr>
      <vt:lpstr>pIns_PT_VTAR_A_COLDVSNA_OFFER_4</vt:lpstr>
      <vt:lpstr>pIns_PT_VTAR_A_COLDVSNA_OFFER_5</vt:lpstr>
      <vt:lpstr>pIns_PT_VTAR_A_COLDVSNA_OFFER5</vt:lpstr>
      <vt:lpstr>pIns_PT_VTAR_A_HOTVSNA</vt:lpstr>
      <vt:lpstr>pIns_PT_VTAR_A_HOTVSNA_OFFER_1</vt:lpstr>
      <vt:lpstr>pIns_PT_VTAR_A_HOTVSNA_OFFER_2</vt:lpstr>
      <vt:lpstr>pIns_PT_VTAR_A_HOTVSNA_OFFER_3</vt:lpstr>
      <vt:lpstr>pIns_PT_VTAR_A_HOTVSNA_OFFER_4</vt:lpstr>
      <vt:lpstr>pIns_PT_VTAR_A_HOTVSNA_OFFER_5</vt:lpstr>
      <vt:lpstr>pIns_PT_VTAR_A_OFFER_1</vt:lpstr>
      <vt:lpstr>pIns_PT_VTAR_A_OFFER_2</vt:lpstr>
      <vt:lpstr>pIns_PT_VTAR_A_OFFER_3</vt:lpstr>
      <vt:lpstr>pIns_PT_VTAR_A_OFFER_4</vt:lpstr>
      <vt:lpstr>pIns_PT_VTAR_A_OFFER_5</vt:lpstr>
      <vt:lpstr>pIns_PT_VTAR_A_VOTV</vt:lpstr>
      <vt:lpstr>pIns_PT_VTAR_A_VOTV_OFFER_1</vt:lpstr>
      <vt:lpstr>pIns_PT_VTAR_A_VOTV_OFFER_2</vt:lpstr>
      <vt:lpstr>pIns_PT_VTAR_A_VOTV_OFFER_3</vt:lpstr>
      <vt:lpstr>pIns_PT_VTAR_A_VOTV_OFFER_4</vt:lpstr>
      <vt:lpstr>pIns_PT_VTAR_A_VOTV_OFFER_5</vt:lpstr>
      <vt:lpstr>pIns_PT_VTAR_B</vt:lpstr>
      <vt:lpstr>pIns_PT_VTAR_B_COLDVSNA</vt:lpstr>
      <vt:lpstr>pIns_PT_VTAR_B_COLDVSNA_OFFER_1</vt:lpstr>
      <vt:lpstr>pIns_PT_VTAR_B_COLDVSNA_OFFER_2</vt:lpstr>
      <vt:lpstr>pIns_PT_VTAR_B_COLDVSNA_OFFER_3</vt:lpstr>
      <vt:lpstr>pIns_PT_VTAR_B_COLDVSNA_OFFER_4</vt:lpstr>
      <vt:lpstr>pIns_PT_VTAR_B_COLDVSNA_OFFER_5</vt:lpstr>
      <vt:lpstr>pIns_PT_VTAR_B_HOTVSNA</vt:lpstr>
      <vt:lpstr>pIns_PT_VTAR_B_HOTVSNA_OFFER_1</vt:lpstr>
      <vt:lpstr>pIns_PT_VTAR_B_HOTVSNA_OFFER_2</vt:lpstr>
      <vt:lpstr>pIns_PT_VTAR_B_HOTVSNA_OFFER_3</vt:lpstr>
      <vt:lpstr>pIns_PT_VTAR_B_HOTVSNA_OFFER_4</vt:lpstr>
      <vt:lpstr>pIns_PT_VTAR_B_HOTVSNA_OFFER_5</vt:lpstr>
      <vt:lpstr>pIns_PT_VTAR_B_OFFER_1</vt:lpstr>
      <vt:lpstr>pIns_PT_VTAR_B_OFFER_2</vt:lpstr>
      <vt:lpstr>pIns_PT_VTAR_B_OFFER_3</vt:lpstr>
      <vt:lpstr>pIns_PT_VTAR_B_OFFER_4</vt:lpstr>
      <vt:lpstr>pIns_PT_VTAR_B_OFFER_5</vt:lpstr>
      <vt:lpstr>pIns_PT_VTAR_B_VOTV</vt:lpstr>
      <vt:lpstr>pIns_PT_VTAR_B_VOTV_OFFER_1</vt:lpstr>
      <vt:lpstr>pIns_PT_VTAR_B_VOTV_OFFER_2</vt:lpstr>
      <vt:lpstr>pIns_PT_VTAR_B_VOTV_OFFER_3</vt:lpstr>
      <vt:lpstr>pIns_PT_VTAR_B_VOTV_OFFER_4</vt:lpstr>
      <vt:lpstr>pIns_PT_VTAR_B_VOTV_OFFER_5</vt:lpstr>
      <vt:lpstr>pIns_PT_VTAR_C</vt:lpstr>
      <vt:lpstr>pIns_PT_VTAR_C_COLDVSNA</vt:lpstr>
      <vt:lpstr>pIns_PT_VTAR_C_COLDVSNA_OFFER_1</vt:lpstr>
      <vt:lpstr>pIns_PT_VTAR_C_COLDVSNA_OFFER_2</vt:lpstr>
      <vt:lpstr>pIns_PT_VTAR_C_COLDVSNA_OFFER_3</vt:lpstr>
      <vt:lpstr>pIns_PT_VTAR_C_COLDVSNA_OFFER_4</vt:lpstr>
      <vt:lpstr>pIns_PT_VTAR_C_COLDVSNA_OFFER_5</vt:lpstr>
      <vt:lpstr>pIns_PT_VTAR_C_HOTVSNA</vt:lpstr>
      <vt:lpstr>pIns_PT_VTAR_C_HOTVSNA_OFFER_1</vt:lpstr>
      <vt:lpstr>pIns_PT_VTAR_C_HOTVSNA_OFFER_2</vt:lpstr>
      <vt:lpstr>pIns_PT_VTAR_C_HOTVSNA_OFFER_3</vt:lpstr>
      <vt:lpstr>pIns_PT_VTAR_C_HOTVSNA_OFFER_4</vt:lpstr>
      <vt:lpstr>pIns_PT_VTAR_C_HOTVSNA_OFFER_5</vt:lpstr>
      <vt:lpstr>pIns_PT_VTAR_C_OFFER_1</vt:lpstr>
      <vt:lpstr>pIns_PT_VTAR_C_OFFER_2</vt:lpstr>
      <vt:lpstr>pIns_PT_VTAR_C_OFFER_3</vt:lpstr>
      <vt:lpstr>pIns_PT_VTAR_C_OFFER_4</vt:lpstr>
      <vt:lpstr>pIns_PT_VTAR_C_OFFER_5</vt:lpstr>
      <vt:lpstr>pIns_PT_VTAR_C_VOTV</vt:lpstr>
      <vt:lpstr>pIns_PT_VTAR_C_VOTV_OFFER_1</vt:lpstr>
      <vt:lpstr>pIns_PT_VTAR_C_VOTV_OFFER_2</vt:lpstr>
      <vt:lpstr>pIns_PT_VTAR_C_VOTV_OFFER_3</vt:lpstr>
      <vt:lpstr>pIns_PT_VTAR_C_VOTV_OFFER_4</vt:lpstr>
      <vt:lpstr>pIns_PT_VTAR_C_VOTV_OFFER_5</vt:lpstr>
      <vt:lpstr>pIns_PT_VTAR_D</vt:lpstr>
      <vt:lpstr>pIns_PT_VTAR_D_COLDVSNA</vt:lpstr>
      <vt:lpstr>pIns_PT_VTAR_D_COLDVSNA_OFFER_1</vt:lpstr>
      <vt:lpstr>pIns_PT_VTAR_D_COLDVSNA_OFFER_2</vt:lpstr>
      <vt:lpstr>pIns_PT_VTAR_D_COLDVSNA_OFFER_3</vt:lpstr>
      <vt:lpstr>pIns_PT_VTAR_D_COLDVSNA_OFFER_4</vt:lpstr>
      <vt:lpstr>pIns_PT_VTAR_D_COLDVSNA_OFFER_5</vt:lpstr>
      <vt:lpstr>pIns_PT_VTAR_D_OFFER_1</vt:lpstr>
      <vt:lpstr>pIns_PT_VTAR_D_OFFER_2</vt:lpstr>
      <vt:lpstr>pIns_PT_VTAR_D_OFFER_3</vt:lpstr>
      <vt:lpstr>pIns_PT_VTAR_D_OFFER_4</vt:lpstr>
      <vt:lpstr>pIns_PT_VTAR_D_OFFER_5</vt:lpstr>
      <vt:lpstr>pIns_PT_VTAR_E_COLDVSNA</vt:lpstr>
      <vt:lpstr>pIns_PT_VTAR_E_COLDVSNA_OFFER_1</vt:lpstr>
      <vt:lpstr>pIns_PT_VTAR_E_COLDVSNA_OFFER_2</vt:lpstr>
      <vt:lpstr>pIns_PT_VTAR_E_COLDVSNA_OFFER_3</vt:lpstr>
      <vt:lpstr>pIns_PT_VTAR_E_COLDVSNA_OFFER_4</vt:lpstr>
      <vt:lpstr>pIns_PT_VTAR_E_COLDVSNA_OFFER_5</vt:lpstr>
      <vt:lpstr>pIns_PT_VTAR_E1</vt:lpstr>
      <vt:lpstr>pIns_PT_VTAR_E1_OFFER_1</vt:lpstr>
      <vt:lpstr>pIns_PT_VTAR_E1_OFFER_2</vt:lpstr>
      <vt:lpstr>pIns_PT_VTAR_E1_OFFER_3</vt:lpstr>
      <vt:lpstr>pIns_PT_VTAR_E1_OFFER_4</vt:lpstr>
      <vt:lpstr>pIns_PT_VTAR_E1_OFFER_5</vt:lpstr>
      <vt:lpstr>pIns_PT_VTAR_E2</vt:lpstr>
      <vt:lpstr>pIns_PT_VTAR_E2_OFFER_1</vt:lpstr>
      <vt:lpstr>pIns_PT_VTAR_E2_OFFER_2</vt:lpstr>
      <vt:lpstr>pIns_PT_VTAR_E2_OFFER_3</vt:lpstr>
      <vt:lpstr>pIns_PT_VTAR_E2_OFFER_4</vt:lpstr>
      <vt:lpstr>pIns_PT_VTAR_E2_OFFER_5</vt:lpstr>
      <vt:lpstr>pIns_PT_VTAR_F</vt:lpstr>
      <vt:lpstr>pIns_PT_VTAR_F_OFFER_1</vt:lpstr>
      <vt:lpstr>pIns_PT_VTAR_F_OFFER_2</vt:lpstr>
      <vt:lpstr>pIns_PT_VTAR_F_OFFER_3</vt:lpstr>
      <vt:lpstr>pIns_PT_VTAR_F_OFFER_4</vt:lpstr>
      <vt:lpstr>pIns_PT_VTAR_F_OFFER_5</vt:lpstr>
      <vt:lpstr>pIns_PT_VTAR_G</vt:lpstr>
      <vt:lpstr>pIns_PT_VTAR_G_OFFER_1</vt:lpstr>
      <vt:lpstr>pIns_PT_VTAR_G_OFFER_2</vt:lpstr>
      <vt:lpstr>pIns_PT_VTAR_G_OFFER_3</vt:lpstr>
      <vt:lpstr>pIns_PT_VTAR_G_OFFER_4</vt:lpstr>
      <vt:lpstr>pIns_PT_VTAR_G_OFFER_5</vt:lpstr>
      <vt:lpstr>pIns_PT_VTAR_H</vt:lpstr>
      <vt:lpstr>pIns_PT_VTAR_H_OFFER_1</vt:lpstr>
      <vt:lpstr>pIns_PT_VTAR_H_OFFER_2</vt:lpstr>
      <vt:lpstr>pIns_PT_VTAR_H_OFFER_3</vt:lpstr>
      <vt:lpstr>pIns_PT_VTAR_H_OFFER_4</vt:lpstr>
      <vt:lpstr>pIns_PT_VTAR_H_OFFER_5</vt:lpstr>
      <vt:lpstr>pIns_PT_VTAR_I</vt:lpstr>
      <vt:lpstr>pIns_PT_VTAR_I_1</vt:lpstr>
      <vt:lpstr>pIns_Q_LIMIT_1</vt:lpstr>
      <vt:lpstr>pIns_Q_LIMIT_2</vt:lpstr>
      <vt:lpstr>pIns_Q_LIMIT_3</vt:lpstr>
      <vt:lpstr>pIns_Q_LIMIT_4</vt:lpstr>
      <vt:lpstr>pIns_Q_LIMIT_DIFFERENTIATION</vt:lpstr>
      <vt:lpstr>pIns_Q_PH_DIFFERENTIATION</vt:lpstr>
      <vt:lpstr>pIns_Q_TP_1</vt:lpstr>
      <vt:lpstr>pIns_Q_TP_DIFFERENTIATION</vt:lpstr>
      <vt:lpstr>pIns_R_B_Purch_1</vt:lpstr>
      <vt:lpstr>pIns_ROIV_CASE_case</vt:lpstr>
      <vt:lpstr>pIns_ROIV_CASE_PUC_case</vt:lpstr>
      <vt:lpstr>pIns_ROIV_INFO_phone</vt:lpstr>
      <vt:lpstr>pIns_ROIV_ORG_org</vt:lpstr>
      <vt:lpstr>pIns_ROIV_OTV_org</vt:lpstr>
      <vt:lpstr>pIns_ver_COLDVSNA_TARIFF_A_COLDVSNA</vt:lpstr>
      <vt:lpstr>pIns_ver_COLDVSNA_TARIFF_B_COLDVSNA</vt:lpstr>
      <vt:lpstr>pIns_ver_COLDVSNA_TARIFF_C_COLDVSNA</vt:lpstr>
      <vt:lpstr>pIns_ver_COLDVSNA_TARIFF_D_COLDVSNA</vt:lpstr>
      <vt:lpstr>pIns_ver_COLDVSNA_TARIFF_E_COLDVSNA</vt:lpstr>
      <vt:lpstr>pIns_ver_HEAT_TARIFF_A</vt:lpstr>
      <vt:lpstr>pIns_ver_HEAT_TARIFF_B</vt:lpstr>
      <vt:lpstr>pIns_ver_HEAT_TARIFF_C</vt:lpstr>
      <vt:lpstr>pIns_ver_HEAT_TARIFF_D</vt:lpstr>
      <vt:lpstr>pIns_ver_HEAT_TARIFF_E1</vt:lpstr>
      <vt:lpstr>pIns_ver_HEAT_TARIFF_E2</vt:lpstr>
      <vt:lpstr>pIns_ver_HEAT_TARIFF_F</vt:lpstr>
      <vt:lpstr>pIns_ver_HEAT_TARIFF_G</vt:lpstr>
      <vt:lpstr>pIns_ver_HEAT_TARIFF_H</vt:lpstr>
      <vt:lpstr>pIns_ver_HEAT_TARIFF_I</vt:lpstr>
      <vt:lpstr>pIns_ver_HEAT_TARIFF_I_1</vt:lpstr>
      <vt:lpstr>pIns_ver_HOTVSNA_TARIFF_A_HOTVSNA</vt:lpstr>
      <vt:lpstr>pIns_ver_HOTVSNA_TARIFF_B_HOTVSNA</vt:lpstr>
      <vt:lpstr>pIns_ver_HOTVSNA_TARIFF_C_HOTVSNA</vt:lpstr>
      <vt:lpstr>pIns_ver_VOTV_TARIFF_A_VOTV</vt:lpstr>
      <vt:lpstr>pIns_ver_VOTV_TARIFF_B_VOTV</vt:lpstr>
      <vt:lpstr>pIns_ver_VOTV_TARIFF_C_VOTV</vt:lpstr>
      <vt:lpstr>pNote_LIMIT</vt:lpstr>
      <vt:lpstr>pNote_Q_PH</vt:lpstr>
      <vt:lpstr>pNum_Q_LIMIT</vt:lpstr>
      <vt:lpstr>PROCEDURE_TC_NAME_FORM</vt:lpstr>
      <vt:lpstr>PT_ADD_HL_CS_COLUMN_MARKER</vt:lpstr>
      <vt:lpstr>PT_ADD_HL_IST_TE_COLUMN_MARKER</vt:lpstr>
      <vt:lpstr>PT_ADD_HL_NTAR_COLUMN_MARKER</vt:lpstr>
      <vt:lpstr>PT_ADD_HL_TER_COLUMN_MARKER</vt:lpstr>
      <vt:lpstr>PT_ADD_HL_VTAR_COLUMN_MARKER</vt:lpstr>
      <vt:lpstr>pt_cs_1</vt:lpstr>
      <vt:lpstr>pt_cs_10</vt:lpstr>
      <vt:lpstr>pt_cs_11</vt:lpstr>
      <vt:lpstr>pt_cs_12</vt:lpstr>
      <vt:lpstr>pt_cs_13</vt:lpstr>
      <vt:lpstr>pt_cs_14</vt:lpstr>
      <vt:lpstr>pt_cs_15</vt:lpstr>
      <vt:lpstr>pt_cs_16</vt:lpstr>
      <vt:lpstr>pt_cs_17</vt:lpstr>
      <vt:lpstr>pt_cs_18</vt:lpstr>
      <vt:lpstr>pt_cs_19</vt:lpstr>
      <vt:lpstr>pt_cs_2</vt:lpstr>
      <vt:lpstr>pt_cs_20</vt:lpstr>
      <vt:lpstr>pt_cs_21</vt:lpstr>
      <vt:lpstr>pt_cs_21_1</vt:lpstr>
      <vt:lpstr>pt_cs_3</vt:lpstr>
      <vt:lpstr>pt_cs_4</vt:lpstr>
      <vt:lpstr>pt_cs_5</vt:lpstr>
      <vt:lpstr>pt_cs_6</vt:lpstr>
      <vt:lpstr>pt_cs_7</vt:lpstr>
      <vt:lpstr>pt_cs_8</vt:lpstr>
      <vt:lpstr>pt_cs_9</vt:lpstr>
      <vt:lpstr>PT_DEL_HL_CS_COLUMN_MARKER</vt:lpstr>
      <vt:lpstr>PT_DEL_HL_IST_TE_COLUMN_MARKER</vt:lpstr>
      <vt:lpstr>PT_DEL_HL_NTAR_COLUMN_MARKER</vt:lpstr>
      <vt:lpstr>PT_DEL_HL_TER_COLUMN_MARKER</vt:lpstr>
      <vt:lpstr>PT_DEL_HL_VTAR_COLUMN_MARKER</vt:lpstr>
      <vt:lpstr>PT_DIAMETERS_2_LIST</vt:lpstr>
      <vt:lpstr>PT_DIAMETERS_LIST</vt:lpstr>
      <vt:lpstr>PT_DIFFERENTIATION_CS</vt:lpstr>
      <vt:lpstr>PT_DIFFERENTIATION_CS_ID</vt:lpstr>
      <vt:lpstr>PT_DIFFERENTIATION_IST_TE</vt:lpstr>
      <vt:lpstr>PT_DIFFERENTIATION_IST_TE_ID</vt:lpstr>
      <vt:lpstr>PT_DIFFERENTIATION_NTAR</vt:lpstr>
      <vt:lpstr>PT_DIFFERENTIATION_NTAR_ID</vt:lpstr>
      <vt:lpstr>PT_DIFFERENTIATION_NUM_CS</vt:lpstr>
      <vt:lpstr>PT_DIFFERENTIATION_NUM_IST_TE</vt:lpstr>
      <vt:lpstr>PT_DIFFERENTIATION_NUM_NTAR</vt:lpstr>
      <vt:lpstr>PT_DIFFERENTIATION_NUM_TER</vt:lpstr>
      <vt:lpstr>PT_DIFFERENTIATION_TER</vt:lpstr>
      <vt:lpstr>PT_DIFFERENTIATION_TER_ID</vt:lpstr>
      <vt:lpstr>PT_DIFFERENTIATION_VDET</vt:lpstr>
      <vt:lpstr>PT_DIFFERENTIATION_VTAR</vt:lpstr>
      <vt:lpstr>PT_DIFFERENTIATION_VTAR_ID</vt:lpstr>
      <vt:lpstr>PT_FLAG_CS_COLUMN_MARKER</vt:lpstr>
      <vt:lpstr>PT_FLAG_IST_TE_COLUMN_MARKER</vt:lpstr>
      <vt:lpstr>PT_FLAG_TER_COLUMN_MARKER</vt:lpstr>
      <vt:lpstr>PT_FLAG_VTAR_COLUMN_MARKER</vt:lpstr>
      <vt:lpstr>PT_GROUP_CONSUMER_LIST</vt:lpstr>
      <vt:lpstr>PT_HEAT_PRICE_INDICATORS_LEVEL</vt:lpstr>
      <vt:lpstr>pt_ist_te_1</vt:lpstr>
      <vt:lpstr>pt_ist_te_2</vt:lpstr>
      <vt:lpstr>pt_ist_te_20</vt:lpstr>
      <vt:lpstr>pt_ist_te_21</vt:lpstr>
      <vt:lpstr>pt_ist_te_21_1</vt:lpstr>
      <vt:lpstr>pt_ist_te_3</vt:lpstr>
      <vt:lpstr>pt_ist_te_4</vt:lpstr>
      <vt:lpstr>pt_ist_te_5</vt:lpstr>
      <vt:lpstr>pt_ist_te_6</vt:lpstr>
      <vt:lpstr>pt_ist_te_7</vt:lpstr>
      <vt:lpstr>pt_ist_te_8</vt:lpstr>
      <vt:lpstr>PT_LOAD_LIST</vt:lpstr>
      <vt:lpstr>PT_NETS_LIST</vt:lpstr>
      <vt:lpstr>pt_ntar_1</vt:lpstr>
      <vt:lpstr>pt_ntar_10</vt:lpstr>
      <vt:lpstr>pt_ntar_11</vt:lpstr>
      <vt:lpstr>pt_ntar_12</vt:lpstr>
      <vt:lpstr>pt_ntar_13</vt:lpstr>
      <vt:lpstr>pt_ntar_14</vt:lpstr>
      <vt:lpstr>pt_ntar_15</vt:lpstr>
      <vt:lpstr>pt_ntar_16</vt:lpstr>
      <vt:lpstr>pt_ntar_17</vt:lpstr>
      <vt:lpstr>pt_ntar_18</vt:lpstr>
      <vt:lpstr>pt_ntar_19</vt:lpstr>
      <vt:lpstr>pt_ntar_2</vt:lpstr>
      <vt:lpstr>pt_ntar_20</vt:lpstr>
      <vt:lpstr>pt_ntar_21</vt:lpstr>
      <vt:lpstr>pt_ntar_21_1</vt:lpstr>
      <vt:lpstr>pt_ntar_3</vt:lpstr>
      <vt:lpstr>pt_ntar_4</vt:lpstr>
      <vt:lpstr>pt_ntar_5</vt:lpstr>
      <vt:lpstr>pt_ntar_6</vt:lpstr>
      <vt:lpstr>pt_ntar_7</vt:lpstr>
      <vt:lpstr>pt_ntar_8</vt:lpstr>
      <vt:lpstr>pt_ntar_9</vt:lpstr>
      <vt:lpstr>PT_P_FORM_COLDVSNA_4_NAME_FORM</vt:lpstr>
      <vt:lpstr>PT_P_FORM_COLDVSNA_5_NAME_FORM</vt:lpstr>
      <vt:lpstr>PT_P_FORM_HEAT_21_NAME_FORM</vt:lpstr>
      <vt:lpstr>PT_P_FORM_HEAT_22_NAME_FORM</vt:lpstr>
      <vt:lpstr>PT_P_FORM_HEAT_4_NAME_FORM</vt:lpstr>
      <vt:lpstr>PT_P_FORM_HEAT_5_NAME_FORM</vt:lpstr>
      <vt:lpstr>PT_P_FORM_HEAT_6_NAME_FORM</vt:lpstr>
      <vt:lpstr>PT_P_FORM_HEAT_7_NAME_FORM</vt:lpstr>
      <vt:lpstr>PT_P_FORM_HOTVSNA_4_NAME_FORM</vt:lpstr>
      <vt:lpstr>PT_P_FORM_HOTVSNA_5_NAME_FORM</vt:lpstr>
      <vt:lpstr>PT_P_FORM_VOTV_4_NAME_FORM</vt:lpstr>
      <vt:lpstr>PT_P_FORM_VOTV_5_NAME_FORM</vt:lpstr>
      <vt:lpstr>PT_R_FORM_COLDVSNA_16_NAME_FORM</vt:lpstr>
      <vt:lpstr>PT_R_FORM_COLDVSNA_17_NAME_FORM</vt:lpstr>
      <vt:lpstr>PT_R_FORM_HEAT_21_NAME_FORM</vt:lpstr>
      <vt:lpstr>PT_R_FORM_HEAT_22_NAME_FORM</vt:lpstr>
      <vt:lpstr>PT_R_FORM_HEAT_23_NAME_FORM</vt:lpstr>
      <vt:lpstr>PT_R_FORM_HEAT_24_NAME_FORM</vt:lpstr>
      <vt:lpstr>PT_R_FORM_HOTVSNA_16_NAME_FORM</vt:lpstr>
      <vt:lpstr>PT_R_FORM_HOTVSNA_17_NAME_FORM</vt:lpstr>
      <vt:lpstr>PT_R_FORM_VOTV_16_NAME_FORM</vt:lpstr>
      <vt:lpstr>PT_R_FORM_VOTV_17_NAME_FORM</vt:lpstr>
      <vt:lpstr>PT_SCHEME_LIST</vt:lpstr>
      <vt:lpstr>pt_ter_1</vt:lpstr>
      <vt:lpstr>pt_ter_10</vt:lpstr>
      <vt:lpstr>pt_ter_11</vt:lpstr>
      <vt:lpstr>pt_ter_12</vt:lpstr>
      <vt:lpstr>pt_ter_13</vt:lpstr>
      <vt:lpstr>pt_ter_14</vt:lpstr>
      <vt:lpstr>pt_ter_15</vt:lpstr>
      <vt:lpstr>pt_ter_16</vt:lpstr>
      <vt:lpstr>pt_ter_17</vt:lpstr>
      <vt:lpstr>pt_ter_18</vt:lpstr>
      <vt:lpstr>pt_ter_19</vt:lpstr>
      <vt:lpstr>pt_ter_2</vt:lpstr>
      <vt:lpstr>pt_ter_20</vt:lpstr>
      <vt:lpstr>pt_ter_21</vt:lpstr>
      <vt:lpstr>pt_ter_21_1</vt:lpstr>
      <vt:lpstr>pt_ter_3</vt:lpstr>
      <vt:lpstr>pt_ter_4</vt:lpstr>
      <vt:lpstr>pt_ter_5</vt:lpstr>
      <vt:lpstr>pt_ter_6</vt:lpstr>
      <vt:lpstr>pt_ter_7</vt:lpstr>
      <vt:lpstr>pt_ter_8</vt:lpstr>
      <vt:lpstr>pt_ter_9</vt:lpstr>
      <vt:lpstr>PT_TN_LIST</vt:lpstr>
      <vt:lpstr>PT_VDET_COLUMN_MARKER</vt:lpstr>
      <vt:lpstr>PURCH_NAME_FORM</vt:lpstr>
      <vt:lpstr>Q_LIMIT_CheckC</vt:lpstr>
      <vt:lpstr>Q_LIMIT_diff_1</vt:lpstr>
      <vt:lpstr>Q_LIMIT_p3</vt:lpstr>
      <vt:lpstr>Q_LIMIT_p4</vt:lpstr>
      <vt:lpstr>Q_PH_diff_1</vt:lpstr>
      <vt:lpstr>Q_TP_COUNT_REFUSAL</vt:lpstr>
      <vt:lpstr>Q_TP_diff_1</vt:lpstr>
      <vt:lpstr>QRE_METHOD_LIST</vt:lpstr>
      <vt:lpstr>QUARTER</vt:lpstr>
      <vt:lpstr>R_OFFER_ADD_PERIOD_HL_COLUMN_MARKER</vt:lpstr>
      <vt:lpstr>R_OFFER_CHANGE_HL_COLUMN_MARKER</vt:lpstr>
      <vt:lpstr>R_OFFER_DEL_HL_COLUMN_MARKER</vt:lpstr>
      <vt:lpstr>R_OFFER_FLAG_HL_COLUMN_MARKER</vt:lpstr>
      <vt:lpstr>REESTR_LINK_RANGE</vt:lpstr>
      <vt:lpstr>REESTR_VT_RANGE</vt:lpstr>
      <vt:lpstr>REGION</vt:lpstr>
      <vt:lpstr>region_name</vt:lpstr>
      <vt:lpstr>RegulatoryPeriod</vt:lpstr>
      <vt:lpstr>ReportPeriod</vt:lpstr>
      <vt:lpstr>ROIV_CASE_ADD_HL_CASE_COLUMN_MARKER</vt:lpstr>
      <vt:lpstr>ROIV_CASE_DATE</vt:lpstr>
      <vt:lpstr>ROIV_CASE_DEL_HL_CASE_COLUMN_MARKER</vt:lpstr>
      <vt:lpstr>ROIV_CASE_NUM_CASE_COLUMN_MARKER</vt:lpstr>
      <vt:lpstr>ROIV_CASE_PROTOKOL</vt:lpstr>
      <vt:lpstr>ROIV_CASE_PROTOKOL_ET</vt:lpstr>
      <vt:lpstr>ROIV_CASE_PUC_ADD_HL_CASE_COLUMN_MARKER</vt:lpstr>
      <vt:lpstr>ROIV_CASE_PUC_DATE</vt:lpstr>
      <vt:lpstr>ROIV_CASE_PUC_DEL_HL_CASE_COLUMN_MARKER</vt:lpstr>
      <vt:lpstr>ROIV_CASE_PUC_NUM_CASE_COLUMN_MARKER</vt:lpstr>
      <vt:lpstr>ROIV_CASE_PUC_PROTOKOL</vt:lpstr>
      <vt:lpstr>ROIV_CASE_PUC_PROTOKOL_ET</vt:lpstr>
      <vt:lpstr>ROIV_CASE_PUC_RESH</vt:lpstr>
      <vt:lpstr>ROIV_CASE_PUC_RESH_ET</vt:lpstr>
      <vt:lpstr>ROIV_CASE_RESH</vt:lpstr>
      <vt:lpstr>ROIV_CASE_RESH_ET</vt:lpstr>
      <vt:lpstr>ROIV_INFO_COMMENT</vt:lpstr>
      <vt:lpstr>ROIV_INFO_COMMENT_HEAT</vt:lpstr>
      <vt:lpstr>ROIV_INFO_COMMENT_NO_HEAT</vt:lpstr>
      <vt:lpstr>ROIV_INFO_DEL_HL_PHONE_COLUMN_MARKER</vt:lpstr>
      <vt:lpstr>ROIV_INFO_DOKLAD</vt:lpstr>
      <vt:lpstr>ROIV_INFO_LIST</vt:lpstr>
      <vt:lpstr>ROIV_INFO_LIST_HEAT</vt:lpstr>
      <vt:lpstr>ROIV_INFO_LIST_NO_HEAT</vt:lpstr>
      <vt:lpstr>ROIV_INFO_NAME</vt:lpstr>
      <vt:lpstr>ROIV_INFO_NUM_PHONE_COLUMN_MARKER</vt:lpstr>
      <vt:lpstr>ROIV_ORG_DEL_HL_ORG_COLUMN_MARKER</vt:lpstr>
      <vt:lpstr>ROIV_ORG_INN_COLUMN_MARKER</vt:lpstr>
      <vt:lpstr>ROIV_ORG_KPP_COLUMN_MARKER</vt:lpstr>
      <vt:lpstr>ROIV_ORG_NAME_ORG_COLUMN_MARKER</vt:lpstr>
      <vt:lpstr>ROIV_ORG_NUM_ORG_COLUMN_MARKER</vt:lpstr>
      <vt:lpstr>ROIV_ORG_TECH_ORG_ID</vt:lpstr>
      <vt:lpstr>ROIV_ORG_TECH_ORG_ID_COLUMN_MARKER</vt:lpstr>
      <vt:lpstr>ROIV_OTV_ADD_HL_DL_COLUMN_MARKER</vt:lpstr>
      <vt:lpstr>ROIV_OTV_DEL_HL_DL_COLUMN_MARKER</vt:lpstr>
      <vt:lpstr>ROIV_OTV_DEL_HL_ORG_COLUMN_MARKER</vt:lpstr>
      <vt:lpstr>ROIV_OTV_INN_COLUMN_MARKER</vt:lpstr>
      <vt:lpstr>ROIV_OTV_NAME_ORG_COLUMN_MARKER</vt:lpstr>
      <vt:lpstr>ROIV_OTV_NUM_DL_COLUMN_MARKER</vt:lpstr>
      <vt:lpstr>ROIV_OTV_NUM_ORG_COLUMN_MARKER</vt:lpstr>
      <vt:lpstr>ROIV_OTV_TECH_ORG_ID_COLUMN_MARKER</vt:lpstr>
      <vt:lpstr>RST_ORG_ID</vt:lpstr>
      <vt:lpstr>SKI_number</vt:lpstr>
      <vt:lpstr>StartDateList</vt:lpstr>
      <vt:lpstr>tblEnd_1_B_FHD</vt:lpstr>
      <vt:lpstr>tblEnd_1_B_FHD_TKO</vt:lpstr>
      <vt:lpstr>tblEnd_1_B_FHD_TKO_TRANS</vt:lpstr>
      <vt:lpstr>tblEnd_1_B_KNE</vt:lpstr>
      <vt:lpstr>tblEnd_1_B_OTEP</vt:lpstr>
      <vt:lpstr>tblEnd_1_B_STANDARTS</vt:lpstr>
      <vt:lpstr>tblEnd_1_CHANGE_INFO</vt:lpstr>
      <vt:lpstr>tblEnd_1_DIFFERENTIATION</vt:lpstr>
      <vt:lpstr>tblEnd_1_DIFFERENTIATION_TARIFF</vt:lpstr>
      <vt:lpstr>tblEnd_1_DIFFERENTIATION_TKO</vt:lpstr>
      <vt:lpstr>tblEnd_1_ED</vt:lpstr>
      <vt:lpstr>tblEnd_1_IP_DETAILED</vt:lpstr>
      <vt:lpstr>tblEnd_1_IP_FIN_PLAN</vt:lpstr>
      <vt:lpstr>tblEnd_1_IP_MAIN</vt:lpstr>
      <vt:lpstr>tblEnd_1_IP_QRE</vt:lpstr>
      <vt:lpstr>tblEnd_1_OFFER</vt:lpstr>
      <vt:lpstr>tblEnd_1_ORG_INFO</vt:lpstr>
      <vt:lpstr>tblEnd_1_ORG_TERRITORY</vt:lpstr>
      <vt:lpstr>tblEnd_1_ORG_VD</vt:lpstr>
      <vt:lpstr>tblEnd_1_ORG_VD_TKO</vt:lpstr>
      <vt:lpstr>tblEnd_1_P_PROCEDURE_TC</vt:lpstr>
      <vt:lpstr>tblEnd_1_P_T_TERMS</vt:lpstr>
      <vt:lpstr>tblEnd_1_Q_LIMIT</vt:lpstr>
      <vt:lpstr>tblEnd_1_Q_PH</vt:lpstr>
      <vt:lpstr>tblEnd_1_Q_TP</vt:lpstr>
      <vt:lpstr>tblEnd_1_R_B_Purch</vt:lpstr>
      <vt:lpstr>tblEnd_1_R_Offer</vt:lpstr>
      <vt:lpstr>tblEnd_1_ROIV_CASE</vt:lpstr>
      <vt:lpstr>tblEnd_1_ROIV_CASE_PUC</vt:lpstr>
      <vt:lpstr>tblEnd_1_ROIV_INFO</vt:lpstr>
      <vt:lpstr>tblEnd_1_ROIV_ORG</vt:lpstr>
      <vt:lpstr>tblEnd_1_ROIV_OTV</vt:lpstr>
      <vt:lpstr>tblEnd_1_TARIFF_A</vt:lpstr>
      <vt:lpstr>tblEnd_1_TARIFF_A_COLDVSNA</vt:lpstr>
      <vt:lpstr>tblEnd_1_TARIFF_A_HOTVSNA</vt:lpstr>
      <vt:lpstr>tblEnd_1_TARIFF_A_VOTV</vt:lpstr>
      <vt:lpstr>tblEnd_1_TARIFF_B</vt:lpstr>
      <vt:lpstr>tblEnd_1_TARIFF_B_COLDVSNA</vt:lpstr>
      <vt:lpstr>tblEnd_1_TARIFF_B_HOTVSNA</vt:lpstr>
      <vt:lpstr>tblEnd_1_TARIFF_B_VOTV</vt:lpstr>
      <vt:lpstr>tblEnd_1_TARIFF_C</vt:lpstr>
      <vt:lpstr>tblEnd_1_TARIFF_C_COLDVSNA</vt:lpstr>
      <vt:lpstr>tblEnd_1_TARIFF_C_HOTVSNA</vt:lpstr>
      <vt:lpstr>tblEnd_1_TARIFF_C_VOTV</vt:lpstr>
      <vt:lpstr>tblEnd_1_TARIFF_D</vt:lpstr>
      <vt:lpstr>tblEnd_1_TARIFF_D_COLDVSNA</vt:lpstr>
      <vt:lpstr>tblEnd_1_TARIFF_E_COLDVSNA</vt:lpstr>
      <vt:lpstr>tblEnd_1_TARIFF_E1</vt:lpstr>
      <vt:lpstr>tblEnd_1_TARIFF_E2</vt:lpstr>
      <vt:lpstr>tblEnd_1_TARIFF_F</vt:lpstr>
      <vt:lpstr>tblEnd_1_TARIFF_G</vt:lpstr>
      <vt:lpstr>tblEnd_1_TARIFF_H</vt:lpstr>
      <vt:lpstr>tblEnd_1_TARIFF_I</vt:lpstr>
      <vt:lpstr>tblEnd_1_TARIFF_I_1</vt:lpstr>
      <vt:lpstr>tblEnd_1_TERRITORY</vt:lpstr>
      <vt:lpstr>tblStart_1_B_FHD</vt:lpstr>
      <vt:lpstr>tblStart_1_B_FHD_TKO</vt:lpstr>
      <vt:lpstr>tblStart_1_B_FHD_TKO_TRANS</vt:lpstr>
      <vt:lpstr>tblStart_1_B_KNE</vt:lpstr>
      <vt:lpstr>tblStart_1_B_OTEP</vt:lpstr>
      <vt:lpstr>tblStart_1_B_STANDARTS</vt:lpstr>
      <vt:lpstr>tblStart_1_CHANGE_INFO</vt:lpstr>
      <vt:lpstr>tblStart_1_DIFFERENTIATION</vt:lpstr>
      <vt:lpstr>tblStart_1_DIFFERENTIATION_TARIFF</vt:lpstr>
      <vt:lpstr>tblStart_1_DIFFERENTIATION_TKO</vt:lpstr>
      <vt:lpstr>tblStart_1_ED</vt:lpstr>
      <vt:lpstr>tblStart_1_IP_DETAILED</vt:lpstr>
      <vt:lpstr>tblStart_1_IP_FIN_PLAN</vt:lpstr>
      <vt:lpstr>tblStart_1_IP_MAIN</vt:lpstr>
      <vt:lpstr>tblStart_1_IP_QRE</vt:lpstr>
      <vt:lpstr>tblStart_1_OFFER</vt:lpstr>
      <vt:lpstr>tblStart_1_ORG_INFO</vt:lpstr>
      <vt:lpstr>tblStart_1_ORG_TERRITORY</vt:lpstr>
      <vt:lpstr>tblStart_1_ORG_VD</vt:lpstr>
      <vt:lpstr>tblStart_1_ORG_VD_TKO</vt:lpstr>
      <vt:lpstr>tblStart_1_P_PROCEDURE_TC</vt:lpstr>
      <vt:lpstr>tblStart_1_P_T_TERMS</vt:lpstr>
      <vt:lpstr>tblStart_1_Q_LIMIT</vt:lpstr>
      <vt:lpstr>tblStart_1_Q_PH</vt:lpstr>
      <vt:lpstr>tblStart_1_Q_TP</vt:lpstr>
      <vt:lpstr>tblStart_1_R_B_Purch</vt:lpstr>
      <vt:lpstr>tblStart_1_R_Offer</vt:lpstr>
      <vt:lpstr>tblStart_1_ROIV_CASE</vt:lpstr>
      <vt:lpstr>tblStart_1_ROIV_CASE_PUC</vt:lpstr>
      <vt:lpstr>tblStart_1_ROIV_INFO</vt:lpstr>
      <vt:lpstr>tblStart_1_ROIV_ORG</vt:lpstr>
      <vt:lpstr>tblStart_1_ROIV_OTV</vt:lpstr>
      <vt:lpstr>tblStart_1_TARIFF_A</vt:lpstr>
      <vt:lpstr>tblStart_1_TARIFF_A_COLDVSNA</vt:lpstr>
      <vt:lpstr>tblStart_1_TARIFF_A_HOTVSNA</vt:lpstr>
      <vt:lpstr>tblStart_1_TARIFF_A_VOTV</vt:lpstr>
      <vt:lpstr>tblStart_1_TARIFF_B</vt:lpstr>
      <vt:lpstr>tblStart_1_TARIFF_B_COLDVSNA</vt:lpstr>
      <vt:lpstr>tblStart_1_TARIFF_B_HOTVSNA</vt:lpstr>
      <vt:lpstr>tblStart_1_TARIFF_B_VOTV</vt:lpstr>
      <vt:lpstr>tblStart_1_TARIFF_C</vt:lpstr>
      <vt:lpstr>tblStart_1_TARIFF_C_COLDVSNA</vt:lpstr>
      <vt:lpstr>tblStart_1_TARIFF_C_HOTVSNA</vt:lpstr>
      <vt:lpstr>tblStart_1_TARIFF_C_VOTV</vt:lpstr>
      <vt:lpstr>tblStart_1_TARIFF_D</vt:lpstr>
      <vt:lpstr>tblStart_1_TARIFF_D_COLDVSNA</vt:lpstr>
      <vt:lpstr>tblStart_1_TARIFF_E_COLDVSNA</vt:lpstr>
      <vt:lpstr>tblStart_1_TARIFF_E1</vt:lpstr>
      <vt:lpstr>tblStart_1_TARIFF_E2</vt:lpstr>
      <vt:lpstr>tblStart_1_TARIFF_F</vt:lpstr>
      <vt:lpstr>tblStart_1_TARIFF_G</vt:lpstr>
      <vt:lpstr>tblStart_1_TARIFF_H</vt:lpstr>
      <vt:lpstr>tblStart_1_TARIFF_I</vt:lpstr>
      <vt:lpstr>tblStart_1_TARIFF_I_1</vt:lpstr>
      <vt:lpstr>tblStart_1_TERRITORY</vt:lpstr>
      <vt:lpstr>TECH_ORG_ID</vt:lpstr>
      <vt:lpstr>TEMPLATE_DATA_POINT</vt:lpstr>
      <vt:lpstr>TEMPLATE_DATA_POINT_FHD</vt:lpstr>
      <vt:lpstr>TEMPLATE_GROUP</vt:lpstr>
      <vt:lpstr>TEMPLATE_NAME_FORM_LIST</vt:lpstr>
      <vt:lpstr>TEMPLATE_NOTE_POINT</vt:lpstr>
      <vt:lpstr>TEMPLATE_NOTE_POINT_FHD</vt:lpstr>
      <vt:lpstr>TEMPLATE_NUMBER_FORM_LIST</vt:lpstr>
      <vt:lpstr>TEMPLATE_NUMBER_POINT_FHD</vt:lpstr>
      <vt:lpstr>TEMPLATE_ORG_DATA_POINT</vt:lpstr>
      <vt:lpstr>TEMPLATE_SPHERE</vt:lpstr>
      <vt:lpstr>TEMPLATE_SPHERE_LIST</vt:lpstr>
      <vt:lpstr>TEMPLATE_SPHERE_LIST_FOR_NOTE</vt:lpstr>
      <vt:lpstr>TEMPLATE_SPHERE_LIST_FOR_NPA</vt:lpstr>
      <vt:lpstr>TEMPLATE_SPHERE_RUS</vt:lpstr>
      <vt:lpstr>TEMPLATE_SPHERE_RUS_2</vt:lpstr>
      <vt:lpstr>TemplateState</vt:lpstr>
      <vt:lpstr>ter_1</vt:lpstr>
      <vt:lpstr>TER_ID</vt:lpstr>
      <vt:lpstr>TERMS_LINK</vt:lpstr>
      <vt:lpstr>TERMS_NAME_FORM</vt:lpstr>
      <vt:lpstr>TERMS_NUM_CONTRACT_COLUMN_MARKER</vt:lpstr>
      <vt:lpstr>TERMS_P_1</vt:lpstr>
      <vt:lpstr>TERMS_TKO_TRANS_DATA</vt:lpstr>
      <vt:lpstr>TERRITORY_CheckC</vt:lpstr>
      <vt:lpstr>TERRITORY_ID</vt:lpstr>
      <vt:lpstr>TERRITORY_LIST_ID</vt:lpstr>
      <vt:lpstr>TERRITORY_MO_LIST</vt:lpstr>
      <vt:lpstr>TERRITORY_MR_LIST</vt:lpstr>
      <vt:lpstr>TERRITORY_NAME_COL</vt:lpstr>
      <vt:lpstr>TERRITORY_POINT_NUMBER_1</vt:lpstr>
      <vt:lpstr>TITLE_BUHG_FLAG</vt:lpstr>
      <vt:lpstr>TITLE_CONNECTION_FLAG</vt:lpstr>
      <vt:lpstr>TITLE_DATA_TYPE</vt:lpstr>
      <vt:lpstr>TITLE_DATE_BUHG</vt:lpstr>
      <vt:lpstr>TITLE_DATE_CHANGE</vt:lpstr>
      <vt:lpstr>TITLE_DATE_CHANGE_PERIOD</vt:lpstr>
      <vt:lpstr>TITLE_DATE_FIL</vt:lpstr>
      <vt:lpstr>TITLE_DATE_PARKING</vt:lpstr>
      <vt:lpstr>TITLE_DATE_PR</vt:lpstr>
      <vt:lpstr>TITLE_DATE_PR_CHANGE</vt:lpstr>
      <vt:lpstr>TITLE_DIFFERENTIATION_TYPE</vt:lpstr>
      <vt:lpstr>TITLE_FIL_YEAR</vt:lpstr>
      <vt:lpstr>TITLE_FLAG_DIFF_SELLER</vt:lpstr>
      <vt:lpstr>TITLE_FLAG_INTERNET</vt:lpstr>
      <vt:lpstr>TITLE_FLAG_IP</vt:lpstr>
      <vt:lpstr>TITLE_FLAG_IP_DETAILED</vt:lpstr>
      <vt:lpstr>TITLE_FLAG_NO_DIFF_COMPONENT</vt:lpstr>
      <vt:lpstr>TITLE_FLAG_NOT_REG_PRICE</vt:lpstr>
      <vt:lpstr>TITLE_FLAG_OTV_ROIV</vt:lpstr>
      <vt:lpstr>TITLE_FLAG_REG_PRICE_IP</vt:lpstr>
      <vt:lpstr>TITLE_FLAG_TKO_TRANS</vt:lpstr>
      <vt:lpstr>TITLE_FLAG_TOP80_ACTIVITY</vt:lpstr>
      <vt:lpstr>TITLE_HEADER_PR_CHANGE</vt:lpstr>
      <vt:lpstr>TITLE_IP_DETAILED_METHOD_LIST</vt:lpstr>
      <vt:lpstr>TITLE_IST_PUB</vt:lpstr>
      <vt:lpstr>TITLE_IST_PUB_CHANGE</vt:lpstr>
      <vt:lpstr>TITLE_NAME_OR_PR</vt:lpstr>
      <vt:lpstr>TITLE_NAME_OR_PR_CHANGE</vt:lpstr>
      <vt:lpstr>TITLE_NUMBER_PR</vt:lpstr>
      <vt:lpstr>TITLE_NUMBER_PR_CHANGE</vt:lpstr>
      <vt:lpstr>TITLE_PERIOD_END</vt:lpstr>
      <vt:lpstr>TITLE_PERIOD_START</vt:lpstr>
      <vt:lpstr>TITLE_PRICE_INDICATORS_GRAPH</vt:lpstr>
      <vt:lpstr>TITLE_PRICE_INDICATORS_LEVEL</vt:lpstr>
      <vt:lpstr>TITLE_STRUCTURE_INFO_ROIV</vt:lpstr>
      <vt:lpstr>TITLE_TYPE_ORG</vt:lpstr>
      <vt:lpstr>TKO_PT_VED_ID</vt:lpstr>
      <vt:lpstr>TKO_PT_VED_NAME</vt:lpstr>
      <vt:lpstr>TKO_PT_VED_NAME_LIST</vt:lpstr>
      <vt:lpstr>TP_NAME_FORM</vt:lpstr>
      <vt:lpstr>TP_NUMBER_FORM</vt:lpstr>
      <vt:lpstr>TP_P_A</vt:lpstr>
      <vt:lpstr>TP_P_B</vt:lpstr>
      <vt:lpstr>TP_P_G</vt:lpstr>
      <vt:lpstr>TP_P_NOTE_A</vt:lpstr>
      <vt:lpstr>TP_P_NOTE_B</vt:lpstr>
      <vt:lpstr>TP_P_NOTE_G</vt:lpstr>
      <vt:lpstr>TP_P_NOTE_G_1</vt:lpstr>
      <vt:lpstr>TP_P_NOTE_V</vt:lpstr>
      <vt:lpstr>TP_P_NOTE_V_1</vt:lpstr>
      <vt:lpstr>TP_P_V</vt:lpstr>
      <vt:lpstr>TP_P_V_1</vt:lpstr>
      <vt:lpstr>TYPE_TKO_LIST</vt:lpstr>
      <vt:lpstr>UNIT_CONNECT_LIST</vt:lpstr>
      <vt:lpstr>VD_ID_LIST</vt:lpstr>
      <vt:lpstr>VD_LIST</vt:lpstr>
      <vt:lpstr>VD_NAME_LIST</vt:lpstr>
      <vt:lpstr>VDET_END_DATE</vt:lpstr>
      <vt:lpstr>VDET_START_DATE</vt:lpstr>
      <vt:lpstr>version</vt:lpstr>
      <vt:lpstr>VOTV_FIN_SRC_LIST</vt:lpstr>
      <vt:lpstr>VOTV_FIN_SRC_VLD_LIST</vt:lpstr>
      <vt:lpstr>VOTV_IP_EVENT_CI_STAGE_LIST</vt:lpstr>
      <vt:lpstr>VOTV_IP_EVENT_GROUP_LIST</vt:lpstr>
      <vt:lpstr>VOTV_IP_EVENT_SUBGROUP_1_LIST</vt:lpstr>
      <vt:lpstr>VOTV_IP_EVENT_SUBGROUP_3_LIST</vt:lpstr>
      <vt:lpstr>VOTV_IP_EVENT_SUBGROUP_5_LIST</vt:lpstr>
      <vt:lpstr>VOTV_IP_EVENT_TYPE_LIST</vt:lpstr>
      <vt:lpstr>VOTV_PT_VED_ID</vt:lpstr>
      <vt:lpstr>VOTV_PT_VED_NAME</vt:lpstr>
      <vt:lpstr>VOTV_PT_VED_NAME_LIST</vt:lpstr>
      <vt:lpstr>VOTV_TARIFF_A_VOTV_ADD_HL_COLUMN_MARKER</vt:lpstr>
      <vt:lpstr>VOTV_TARIFF_A_VOTV_DEL_HL_DATA_DIFF_COLUMN_MARKER</vt:lpstr>
      <vt:lpstr>VOTV_TARIFF_A_VOTV_DEL_HL_FLAG_DIFF_COLUMN_MARKER</vt:lpstr>
      <vt:lpstr>VOTV_TARIFF_A_VOTV_DEL_HL_GC_COLUMN_MARKER</vt:lpstr>
      <vt:lpstr>VOTV_TARIFF_A_VOTV_DELETE_PERIOD_ROW_MARKER</vt:lpstr>
      <vt:lpstr>VOTV_TARIFF_A_VOTV_FLAG_BLOCK_COLUMN_MARKER</vt:lpstr>
      <vt:lpstr>VOTV_TARIFF_A_VOTV_FLAG_BLOCK_ROW_MARKER</vt:lpstr>
      <vt:lpstr>VOTV_TARIFF_A_VOTV_NUM_CS_COLUMN_MARKER</vt:lpstr>
      <vt:lpstr>VOTV_TARIFF_A_VOTV_NUM_DATA_DIFF_COLUMN_MARKER</vt:lpstr>
      <vt:lpstr>VOTV_TARIFF_A_VOTV_NUM_FLAG_DIFF_COLUMN_MARKER</vt:lpstr>
      <vt:lpstr>VOTV_TARIFF_A_VOTV_NUM_GC_COLUMN_MARKER</vt:lpstr>
      <vt:lpstr>VOTV_TARIFF_A_VOTV_NUM_NTAR_COLUMN_MARKER</vt:lpstr>
      <vt:lpstr>VOTV_TARIFF_A_VOTV_NUM_TER_COLUMN_MARKER</vt:lpstr>
      <vt:lpstr>VOTV_TARIFF_B_VOTV_ADD_HL_COLUMN_MARKER</vt:lpstr>
      <vt:lpstr>VOTV_TARIFF_B_VOTV_DEL_HL_DATA_DIFF_COLUMN_MARKER</vt:lpstr>
      <vt:lpstr>VOTV_TARIFF_B_VOTV_DEL_HL_FLAG_DIFF_COLUMN_MARKER</vt:lpstr>
      <vt:lpstr>VOTV_TARIFF_B_VOTV_DEL_HL_GC_COLUMN_MARKER</vt:lpstr>
      <vt:lpstr>VOTV_TARIFF_B_VOTV_DELETE_PERIOD_ROW_MARKER</vt:lpstr>
      <vt:lpstr>VOTV_TARIFF_B_VOTV_FLAG_BLOCK_COLUMN_MARKER</vt:lpstr>
      <vt:lpstr>VOTV_TARIFF_B_VOTV_FLAG_BLOCK_ROW_MARKER</vt:lpstr>
      <vt:lpstr>VOTV_TARIFF_B_VOTV_NUM_CS_COLUMN_MARKER</vt:lpstr>
      <vt:lpstr>VOTV_TARIFF_B_VOTV_NUM_DATA_DIFF_COLUMN_MARKER</vt:lpstr>
      <vt:lpstr>VOTV_TARIFF_B_VOTV_NUM_FLAG_DIFF_COLUMN_MARKER</vt:lpstr>
      <vt:lpstr>VOTV_TARIFF_B_VOTV_NUM_GC_COLUMN_MARKER</vt:lpstr>
      <vt:lpstr>VOTV_TARIFF_B_VOTV_NUM_NTAR_COLUMN_MARKER</vt:lpstr>
      <vt:lpstr>VOTV_TARIFF_B_VOTV_NUM_TER_COLUMN_MARKER</vt:lpstr>
      <vt:lpstr>VOTV_TARIFF_C_VOTV_ADD_HL_COLUMN_MARKER</vt:lpstr>
      <vt:lpstr>VOTV_TARIFF_C_VOTV_ADD_HL_DIAMETERS_COLUMN_MARKER</vt:lpstr>
      <vt:lpstr>VOTV_TARIFF_C_VOTV_ADD_HL_LEN_COLUMN_MARKER</vt:lpstr>
      <vt:lpstr>VOTV_TARIFF_C_VOTV_ADD_HL_LOAD_COLUMN_MARKER</vt:lpstr>
      <vt:lpstr>VOTV_TARIFF_C_VOTV_ADD_HL_NETS_COLUMN_MARKER</vt:lpstr>
      <vt:lpstr>VOTV_TARIFF_C_VOTV_DEL_HL_DATA_DIFF_COLUMN_MARKER</vt:lpstr>
      <vt:lpstr>VOTV_TARIFF_C_VOTV_DEL_HL_DIAMETERS_COLUMN_MARKER</vt:lpstr>
      <vt:lpstr>VOTV_TARIFF_C_VOTV_DEL_HL_FLAG_DIFF_COLUMN_MARKER</vt:lpstr>
      <vt:lpstr>VOTV_TARIFF_C_VOTV_DEL_HL_GC_COLUMN_MARKER</vt:lpstr>
      <vt:lpstr>VOTV_TARIFF_C_VOTV_DEL_HL_LEN_COLUMN_MARKER</vt:lpstr>
      <vt:lpstr>VOTV_TARIFF_C_VOTV_DEL_HL_LOAD_COLUMN_MARKER</vt:lpstr>
      <vt:lpstr>VOTV_TARIFF_C_VOTV_DEL_HL_NETS_COLUMN_MARKER</vt:lpstr>
      <vt:lpstr>VOTV_TARIFF_C_VOTV_DELETE_PERIOD_ROW_MARKER</vt:lpstr>
      <vt:lpstr>VOTV_TARIFF_C_VOTV_FLAG_BLOCK_COLUMN_MARKER</vt:lpstr>
      <vt:lpstr>VOTV_TARIFF_C_VOTV_FLAG_BLOCK_ROW_MARKER</vt:lpstr>
      <vt:lpstr>VOTV_TARIFF_C_VOTV_NUM_CS_COLUMN_MARKER</vt:lpstr>
      <vt:lpstr>VOTV_TARIFF_C_VOTV_NUM_DATA_DIFF_COLUMN_MARKER</vt:lpstr>
      <vt:lpstr>VOTV_TARIFF_C_VOTV_NUM_DIAMETERS_COLUMN_MARKER</vt:lpstr>
      <vt:lpstr>VOTV_TARIFF_C_VOTV_NUM_FLAG_DIFF_COLUMN_MARKER</vt:lpstr>
      <vt:lpstr>VOTV_TARIFF_C_VOTV_NUM_GC_COLUMN_MARKER</vt:lpstr>
      <vt:lpstr>VOTV_TARIFF_C_VOTV_NUM_LEN_COLUMN_MARKER</vt:lpstr>
      <vt:lpstr>VOTV_TARIFF_C_VOTV_NUM_LOAD_COLUMN_MARKER</vt:lpstr>
      <vt:lpstr>VOTV_TARIFF_C_VOTV_NUM_NETS_COLUMN_MARKER</vt:lpstr>
      <vt:lpstr>VOTV_TARIFF_C_VOTV_NUM_NTAR_COLUMN_MARKER</vt:lpstr>
      <vt:lpstr>VOTV_TARIFF_C_VOTV_NUM_TER_COLUMN_MARKER</vt:lpstr>
      <vt:lpstr>VSNA_FIN_SRC_LIST</vt:lpstr>
      <vt:lpstr>VSNA_FIN_SRC_VLD_LIST</vt:lpstr>
      <vt:lpstr>VSNA_IP_EVENT_CI_STAGE_LIST</vt:lpstr>
      <vt:lpstr>VSNA_IP_EVENT_GROUP_LIST</vt:lpstr>
      <vt:lpstr>VSNA_IP_EVENT_SUBGROUP_1_LIST</vt:lpstr>
      <vt:lpstr>VSNA_IP_EVENT_SUBGROUP_3_LIST</vt:lpstr>
      <vt:lpstr>VSNA_IP_EVENT_SUBGROUP_5_LIST</vt:lpstr>
      <vt:lpstr>VSNA_IP_EVENT_TYPE_LIST</vt:lpstr>
      <vt:lpstr>VTAR_ID</vt:lpstr>
      <vt:lpstr>Y_N_DIFFERENTIATION_AREA</vt:lpstr>
      <vt:lpstr>Y_N_DIFFERENTIATION_SYSTEM</vt:lpstr>
      <vt:lpstr>YEAR_IP_LIST</vt:lpstr>
      <vt:lpstr>year_list</vt:lpstr>
      <vt:lpstr>year_list1</vt:lpstr>
    </vt:vector>
  </TitlesOfParts>
  <Company>ФАС России</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Информация, подлежащая раскрытию организациями сферы теплоснабжения (цены и тарифы)</dc:title>
  <dc:subject>Информация, подлежащая раскрытию организациями сферы теплоснабжения (цены и тарифы)</dc:subject>
  <dc:creator>--</dc:creator>
  <dc:description/>
  <cp:lastModifiedBy>-</cp:lastModifiedBy>
  <cp:lastPrinted>2013-08-29T08:11:20Z</cp:lastPrinted>
  <dcterms:created xsi:type="dcterms:W3CDTF">2004-05-21T07:18:45Z</dcterms:created>
  <dcterms:modified xsi:type="dcterms:W3CDTF">2024-03-31T15:42:24Z</dcterms:modified>
</cp:coreProperties>
</file>

<file path=docProps/custom.xml><?xml version="1.0" encoding="utf-8"?>
<Properties xmlns="http://schemas.openxmlformats.org/officeDocument/2006/custom-properties" xmlns:vt="http://schemas.openxmlformats.org/officeDocument/2006/docPropsVTypes"/>
</file>